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Лист1" sheetId="1" r:id="rId1"/>
    <sheet name="Mijloace colectate si Fondul Re" sheetId="2" r:id="rId2"/>
    <sheet name="Лист3" sheetId="3" r:id="rId3"/>
  </sheets>
  <definedNames>
    <definedName name="_xlnm.Print_Area" localSheetId="1">'Mijloace colectate si Fondul Re'!$A$1:$V$76</definedName>
    <definedName name="_xlnm.Print_Area" localSheetId="0">'Лист1'!$A$1:$J$89</definedName>
  </definedNames>
  <calcPr fullCalcOnLoad="1"/>
</workbook>
</file>

<file path=xl/sharedStrings.xml><?xml version="1.0" encoding="utf-8"?>
<sst xmlns="http://schemas.openxmlformats.org/spreadsheetml/2006/main" count="350" uniqueCount="267">
  <si>
    <t>Ş.P. ”A.Donici” or.Cahul</t>
  </si>
  <si>
    <t>S.P. ”A.Mateevici” or.Cahul</t>
  </si>
  <si>
    <t>Gimn. „M.Sadoveanu” s. Andruşul de Sus</t>
  </si>
  <si>
    <t>Gimn. „I. Neculce” s. Baurci-Moldoveni</t>
  </si>
  <si>
    <t>Ş.P.-grădiniţă s.Iujnoe</t>
  </si>
  <si>
    <t>Ş.P.-grădiniţă.Rumeanţev</t>
  </si>
  <si>
    <t>Gimn. ”Ioan Vodă” s.Bucuria</t>
  </si>
  <si>
    <t>Gimn. ”G.Coşbuc” s.Andruşul de Jos</t>
  </si>
  <si>
    <t>Gimn. „A.Russo” s.Ursoaia</t>
  </si>
  <si>
    <t>Gimn. „M.Lomonosov” s. Lebedenco</t>
  </si>
  <si>
    <t>Gimn. „L.Ucrainca” s.Luceşti</t>
  </si>
  <si>
    <t>Gimn. „B.P.Haşdeu” s.Tătăreşti</t>
  </si>
  <si>
    <t>Gimn. „C.Stere” s.Chircani</t>
  </si>
  <si>
    <t>Gimn. „G.Asachi” s. Cucoara</t>
  </si>
  <si>
    <t>Gimn. „M.Viteazul” s.Badicul Moldovenesc</t>
  </si>
  <si>
    <t>Gimn. „Alex. cel Bun” s.Larga Nouă</t>
  </si>
  <si>
    <t>Gimn. „Ştefan cel Mare” s.Pelinei</t>
  </si>
  <si>
    <t>Gimn. „V.Alexandri” s.Taraclia de Salcie</t>
  </si>
  <si>
    <t xml:space="preserve">Gimn. „D.Cantemir” s.Tartaul de Salcie </t>
  </si>
  <si>
    <t>Gimn. „A.Mateevici” s.Manta</t>
  </si>
  <si>
    <t>Gimn. „I.Vazov” s.Lopăţica</t>
  </si>
  <si>
    <t>Gimn. „I.L. Caragiale” s.Doina</t>
  </si>
  <si>
    <t>Gimn. „S.Esenin” s.Alexanderfeld</t>
  </si>
  <si>
    <t>Gimn. „M. Sadoveanu”, s. Vadul lui Isac</t>
  </si>
  <si>
    <t>Gimn. „Ştefan cel Mare” s.Văleni</t>
  </si>
  <si>
    <t>Gimn.” Puşchin” s.Burlaceni</t>
  </si>
  <si>
    <t>Gimn. S.Cîşliţa Prut</t>
  </si>
  <si>
    <t>Gimn. „Alecu Mare” s.Slobozia Mare</t>
  </si>
  <si>
    <t>Gimn. ”M.Kogîlniceanu” s.Cotihana</t>
  </si>
  <si>
    <t>Gimn. „I.Gaşek” s.Huluboaia</t>
  </si>
  <si>
    <t>Gimn. „Igor Creţu”, s. Găvănoasa</t>
  </si>
  <si>
    <t>Gimn.,,N.Iorga” s.Burlacu</t>
  </si>
  <si>
    <t>Gimn. „I. Creangă”, s. Borceag</t>
  </si>
  <si>
    <t>LT,,A.Mateevici” s.A.I.Cuza</t>
  </si>
  <si>
    <t>LT,,V.Alecsandri” s.Colibaşi</t>
  </si>
  <si>
    <t>LT,,M.Eminescu” s.Crihana Veche</t>
  </si>
  <si>
    <t>LT,,M.Sadoveanu” s.Giurgiuleşti</t>
  </si>
  <si>
    <t>LT,,M.Eminescu” s.Slobozia Mare</t>
  </si>
  <si>
    <t>L.T.”I. Creangă”, s. Zîrneşti</t>
  </si>
  <si>
    <t>LT,,P.Rumeanţev” or.Cahul</t>
  </si>
  <si>
    <t>LT,,Ion Creangă” or.Cahul</t>
  </si>
  <si>
    <t>LT,,Dm.Cantemir” or.Cahul</t>
  </si>
  <si>
    <t>LT,,M.Eminescu” or.Cahul</t>
  </si>
  <si>
    <t>LT,,Ioan Vodă” or.Cahul</t>
  </si>
  <si>
    <t>Serviciul  Raional   de Asistenţa Psihopedagogică</t>
  </si>
  <si>
    <t>Gimn. „Mircea cel Bătrîn” s.Moscovei</t>
  </si>
  <si>
    <t>Gimn-grad. „G.Vieru” s.Frumuşica</t>
  </si>
  <si>
    <t>Gimn-grad. „S.Rahmaninov”, or. Cahul</t>
  </si>
  <si>
    <t>Total</t>
  </si>
  <si>
    <t>n/o</t>
  </si>
  <si>
    <t>Denumirea institutiei</t>
  </si>
  <si>
    <t>cod Org2</t>
  </si>
  <si>
    <t>devieri %</t>
  </si>
  <si>
    <t>fata de precizat</t>
  </si>
  <si>
    <t>Gimn. „A.I.Cuza” s.Roşu</t>
  </si>
  <si>
    <t xml:space="preserve">K6 142320 Plata pentru locatiunea bunurilor patrimoniului public </t>
  </si>
  <si>
    <t>Gimn. „N.Stănescu” s.Păşcani, inclusiv:</t>
  </si>
  <si>
    <t>Gimn. „V.Corolenco”, s. Moscovei, inclusiv:</t>
  </si>
  <si>
    <t xml:space="preserve"> LT "Academician Ion Bostan" s.Brinza     </t>
  </si>
  <si>
    <t xml:space="preserve">Biblioteca raionala "Andrei Ciurunga" Cahul       </t>
  </si>
  <si>
    <t xml:space="preserve"> Institutia de Invatamint Publica Scoala Primara-Gradinita s. Iujnoe </t>
  </si>
  <si>
    <t xml:space="preserve">01642 </t>
  </si>
  <si>
    <t xml:space="preserve">Institutia de Invatamint Publica Scoala Primara-Gradinita s.Rumeantev    </t>
  </si>
  <si>
    <t>01643</t>
  </si>
  <si>
    <t xml:space="preserve">Tabara de odihna si indremare a sanatatii copiilor "Romantica" Moscovei    </t>
  </si>
  <si>
    <t>12487</t>
  </si>
  <si>
    <t>aprobat 2016</t>
  </si>
  <si>
    <t>precizat semestrul I 2016</t>
  </si>
  <si>
    <t>executat semestrul I 2016</t>
  </si>
  <si>
    <t xml:space="preserve">Perioada </t>
  </si>
  <si>
    <t>fata de aprobat</t>
  </si>
  <si>
    <t xml:space="preserve">Aparatul Presedintelui Raionului Cahul      </t>
  </si>
  <si>
    <t>10674</t>
  </si>
  <si>
    <t xml:space="preserve">Directia agricultura si dezvoltare economica Cahul  </t>
  </si>
  <si>
    <t>10331</t>
  </si>
  <si>
    <t>03754</t>
  </si>
  <si>
    <t xml:space="preserve"> Aparatul Directiei Invatamint Cahul                </t>
  </si>
  <si>
    <t>52
2011</t>
  </si>
  <si>
    <t>54
2011</t>
  </si>
  <si>
    <t>55
2011</t>
  </si>
  <si>
    <t>56
2011</t>
  </si>
  <si>
    <t>53
1087</t>
  </si>
  <si>
    <t xml:space="preserve"> Azilul raional de batrin si invalizi Cahul                       </t>
  </si>
  <si>
    <t>12579</t>
  </si>
  <si>
    <t>total</t>
  </si>
  <si>
    <t>Total institutii</t>
  </si>
  <si>
    <t>Mijloace speciale Raional Cahul la situatia din 30.06.2016</t>
  </si>
  <si>
    <t xml:space="preserve">Incasari de la prestarea serviciilor cu plata </t>
  </si>
  <si>
    <t xml:space="preserve">K6 142310 </t>
  </si>
  <si>
    <t xml:space="preserve"> Plata pentru locatiunea bunurilor patrimoniului public </t>
  </si>
  <si>
    <t>K6 142320</t>
  </si>
  <si>
    <t>executarea scontata 2017</t>
  </si>
  <si>
    <r>
      <t xml:space="preserve">TOTAL, </t>
    </r>
    <r>
      <rPr>
        <b/>
        <sz val="13"/>
        <color indexed="8"/>
        <rFont val="Times New Roman"/>
        <family val="1"/>
      </rPr>
      <t>iclusiv</t>
    </r>
  </si>
  <si>
    <t>01641</t>
  </si>
  <si>
    <t>01644</t>
  </si>
  <si>
    <t>01645</t>
  </si>
  <si>
    <t>01646</t>
  </si>
  <si>
    <t>01647</t>
  </si>
  <si>
    <t>01648</t>
  </si>
  <si>
    <t>01651</t>
  </si>
  <si>
    <t>01653</t>
  </si>
  <si>
    <t>01654</t>
  </si>
  <si>
    <t>01655</t>
  </si>
  <si>
    <t>01657</t>
  </si>
  <si>
    <t>01658</t>
  </si>
  <si>
    <t>01661</t>
  </si>
  <si>
    <t>01675</t>
  </si>
  <si>
    <t>01676</t>
  </si>
  <si>
    <t>01683</t>
  </si>
  <si>
    <t>01684</t>
  </si>
  <si>
    <t>01685</t>
  </si>
  <si>
    <t>01686</t>
  </si>
  <si>
    <t>01689</t>
  </si>
  <si>
    <t>01690</t>
  </si>
  <si>
    <t>01692</t>
  </si>
  <si>
    <t>01693</t>
  </si>
  <si>
    <t>01698</t>
  </si>
  <si>
    <t>01702</t>
  </si>
  <si>
    <t>01703</t>
  </si>
  <si>
    <t>01704</t>
  </si>
  <si>
    <t>01706</t>
  </si>
  <si>
    <t>01709</t>
  </si>
  <si>
    <t>01712</t>
  </si>
  <si>
    <t>01715</t>
  </si>
  <si>
    <t>01716</t>
  </si>
  <si>
    <t>01717</t>
  </si>
  <si>
    <t>01718</t>
  </si>
  <si>
    <t>01719</t>
  </si>
  <si>
    <t>01720</t>
  </si>
  <si>
    <t>01723</t>
  </si>
  <si>
    <t>cod Org</t>
  </si>
  <si>
    <t>2011</t>
  </si>
  <si>
    <t>2013</t>
  </si>
  <si>
    <t>3</t>
  </si>
  <si>
    <t>4</t>
  </si>
  <si>
    <t>Categoria 1 
Servicii cu plata</t>
  </si>
  <si>
    <t>Categoria 2
Plata pentru locatiunea</t>
  </si>
  <si>
    <t>Aprobat 2016</t>
  </si>
  <si>
    <t>7</t>
  </si>
  <si>
    <t>8</t>
  </si>
  <si>
    <t>9</t>
  </si>
  <si>
    <t>10</t>
  </si>
  <si>
    <t>Precizat 2016</t>
  </si>
  <si>
    <t>Executat 30.06.2016</t>
  </si>
  <si>
    <t>11</t>
  </si>
  <si>
    <t>12</t>
  </si>
  <si>
    <t>13</t>
  </si>
  <si>
    <t>14</t>
  </si>
  <si>
    <t>15</t>
  </si>
  <si>
    <t>16</t>
  </si>
  <si>
    <t>Total mijloace speciale</t>
  </si>
  <si>
    <t>01724</t>
  </si>
  <si>
    <t>1087</t>
  </si>
  <si>
    <t>09703</t>
  </si>
  <si>
    <t>1.Consiuliul Raional Cahul</t>
  </si>
  <si>
    <t>2.Invatamint</t>
  </si>
  <si>
    <t xml:space="preserve">a. Aparatul Presedintelui Raionului Cahul      </t>
  </si>
  <si>
    <t xml:space="preserve">b. Biblioteca raionala "Andrei Ciurunga" Cahul       </t>
  </si>
  <si>
    <t>inclusiv:</t>
  </si>
  <si>
    <t>c. Institutii</t>
  </si>
  <si>
    <t>Prognoza 2018</t>
  </si>
  <si>
    <t>20</t>
  </si>
  <si>
    <t>21</t>
  </si>
  <si>
    <t>Prognoza 2017</t>
  </si>
  <si>
    <t xml:space="preserve">
Scontat 2016 
</t>
  </si>
  <si>
    <t>S297</t>
  </si>
  <si>
    <t>s297</t>
  </si>
  <si>
    <t>Taxa la cumpararea valutei straine de catre persoanele fizice</t>
  </si>
  <si>
    <t>142245</t>
  </si>
  <si>
    <t>191310</t>
  </si>
  <si>
    <t>S296</t>
  </si>
  <si>
    <t>Fondul Republican de sustinere populatiei</t>
  </si>
  <si>
    <t>ORG 1 Asistenta Sociala</t>
  </si>
  <si>
    <t>03756</t>
  </si>
  <si>
    <t>Aparatul Asistentei Sociale  Functia 1070</t>
  </si>
  <si>
    <t>TOTAL LIMITE IN SIMF LA PROIECT</t>
  </si>
  <si>
    <t>3.Asistenta Sociala Azil DE BATRIN Functia 1012</t>
  </si>
  <si>
    <t>012579</t>
  </si>
  <si>
    <t>Anul 2016</t>
  </si>
  <si>
    <t>PROGNOZA</t>
  </si>
  <si>
    <t>142 MIJLOACE COLECTATE (1423+1422)</t>
  </si>
  <si>
    <t>FONDUL REPUBLICAN (anexa nr.3 din circulara)</t>
  </si>
  <si>
    <t>Inclusiv:</t>
  </si>
  <si>
    <t>Taxa de la cumpărarea valutei străine de către persoane fizice în casele de schimb valutar</t>
  </si>
  <si>
    <t>Venituri</t>
  </si>
  <si>
    <t>Denumirea instituțiilor</t>
  </si>
  <si>
    <t>cod Org1</t>
  </si>
  <si>
    <t xml:space="preserve">Total </t>
  </si>
  <si>
    <t>Cornelia Prepeliță</t>
  </si>
  <si>
    <t>Serviciile de stat cu destinaţie generală</t>
  </si>
  <si>
    <t>Cod</t>
  </si>
  <si>
    <t>01</t>
  </si>
  <si>
    <t>0301</t>
  </si>
  <si>
    <t>08</t>
  </si>
  <si>
    <t>0820</t>
  </si>
  <si>
    <t>Invațămînt</t>
  </si>
  <si>
    <t>09</t>
  </si>
  <si>
    <t>Educaţie timpurie</t>
  </si>
  <si>
    <t>8802</t>
  </si>
  <si>
    <t>8803</t>
  </si>
  <si>
    <t>8804</t>
  </si>
  <si>
    <t>8806</t>
  </si>
  <si>
    <t>Învăţămînt primar</t>
  </si>
  <si>
    <t>Învăţămînt  gimnazial</t>
  </si>
  <si>
    <t>Învăţămînt  liceal</t>
  </si>
  <si>
    <t>8814</t>
  </si>
  <si>
    <t>Educație extrașcolară şi susţinerea elevilor dotaţi</t>
  </si>
  <si>
    <t>Protecţia socială</t>
  </si>
  <si>
    <t>1012</t>
  </si>
  <si>
    <t>1070</t>
  </si>
  <si>
    <t>Protecția în caz de incapacitate de muncă</t>
  </si>
  <si>
    <t>Protecție împotriva excluziunii sociale</t>
  </si>
  <si>
    <t>2</t>
  </si>
  <si>
    <t>5</t>
  </si>
  <si>
    <t>6</t>
  </si>
  <si>
    <t xml:space="preserve">Gimnaziu gradiniță "Ioan Voda" s.Bucuria </t>
  </si>
  <si>
    <t>Gimnaziul „M.Viteazul” s.Badicul Moldovenesc</t>
  </si>
  <si>
    <t>Gimnaziul „Mircea cel Bătrîn” s.Moscovei Trifesti</t>
  </si>
  <si>
    <t>Gimnaziul „Alecu Mare” s.Slobozia Mare</t>
  </si>
  <si>
    <t>Gimnaziul „V.Corolenco”, s. Moscovei</t>
  </si>
  <si>
    <t>Gimnaziul „Igor Creţu”, s. Găvănoasa</t>
  </si>
  <si>
    <t xml:space="preserve">Liceul Teoretic "Ioan Voda" or.Cahul                                                                     </t>
  </si>
  <si>
    <t xml:space="preserve">Liceul Teoretic "Mihai Eminescu" or.Cahul  </t>
  </si>
  <si>
    <t xml:space="preserve">Liceul Teoretic "Dimitrie Cantemir" or.Cahul   </t>
  </si>
  <si>
    <t xml:space="preserve">Liceul Teoretic "Petr Rumeantev" or.Cahul    </t>
  </si>
  <si>
    <t xml:space="preserve">Liceul Teoretic "Mihai Eminescu" s.Slobozia Mare   </t>
  </si>
  <si>
    <t xml:space="preserve">Liceul Teoretic "Mihail Sadoveanu" s.Giurgiulesti  </t>
  </si>
  <si>
    <t>Liceul Teoretic "Mihai Eminescu" s.Crihana Veche</t>
  </si>
  <si>
    <t xml:space="preserve">Gimnaziul-gradinita "Serghei Rahmaninov" or.Cahul                                                        </t>
  </si>
  <si>
    <t xml:space="preserve">Gimnaziul "Nicolaie Iorga" s.Burlacu                                                                     </t>
  </si>
  <si>
    <t xml:space="preserve">Gimnaziul "Mihai Kogalniceanu" s.Cotihana                                                                </t>
  </si>
  <si>
    <t xml:space="preserve">Gimnaziul "Cislita Prut" s.Cislita Prut                                                                  </t>
  </si>
  <si>
    <t xml:space="preserve">Gimnaziul "Alexandr Puskin" s.Burlaceni                                                                  </t>
  </si>
  <si>
    <t xml:space="preserve">Gimnaziul "Serghei Esenin" s.Alexanderfeld                                                               </t>
  </si>
  <si>
    <t xml:space="preserve">Gimnaziul "Ion Luca Caragiale" s.Doina                                                                   </t>
  </si>
  <si>
    <t xml:space="preserve">Gimnaziul-gradinita "Grigore Vieru" s.Frumusica                                                          </t>
  </si>
  <si>
    <t xml:space="preserve">Gimnaziul "Ivan Vazov" s.Lopatica                                                                        </t>
  </si>
  <si>
    <t xml:space="preserve">Gimnaziul "Alexei Mateevici" s.Manta                                                                     </t>
  </si>
  <si>
    <t xml:space="preserve">Gimnaziul "Nichita Stanescu" s.Pascani                                                                   </t>
  </si>
  <si>
    <t xml:space="preserve">Gimnaziul "Dimitrie Cantemir" s.Tartaul de Salcie                                                        </t>
  </si>
  <si>
    <t xml:space="preserve">Gimnaziul "Vasile Alecsandri" s.Taraclia de Salce                                                        </t>
  </si>
  <si>
    <t xml:space="preserve">Gimnaziul "Alexandrul cel Bun" s.Larga Noua                                                              </t>
  </si>
  <si>
    <t xml:space="preserve">Gimnaziul "Gheorghe Asachi" s.Cucoara                                                                    </t>
  </si>
  <si>
    <t xml:space="preserve">Gimnaziul "Alecu Russo" s.Ursoaia                                                                        </t>
  </si>
  <si>
    <t xml:space="preserve">Gimnaziul "Ion Neculce" s.Baurci-Moldoveni                                                               </t>
  </si>
  <si>
    <t xml:space="preserve">Gimnaziul "Mihail Sadoveanu" s.Andrusul de Sus                                                           </t>
  </si>
  <si>
    <t xml:space="preserve">Gimnaziul "George Cosbuc" s.Andrusul de Jos                                                              </t>
  </si>
  <si>
    <t xml:space="preserve">Institutia de Invatamint Publica Școala Primara-Gradinita s.Rumeantev                                    </t>
  </si>
  <si>
    <t xml:space="preserve">Institutia de Invatamint Publica Scoala Primara-Gradinita s. Iujnoe                                      </t>
  </si>
  <si>
    <t>Şcoală primară gradiniță ”Alexandru Donici” or.Cahul</t>
  </si>
  <si>
    <t xml:space="preserve">Școala primară gradiniță "Alexandru Donici" or.Cahul                                                     </t>
  </si>
  <si>
    <t>Sinteza veniturilor colectate pe anul 2017</t>
  </si>
  <si>
    <t>Gimnaziul-gradinita „Mihail Lomonosov” s. Lebedenco</t>
  </si>
  <si>
    <t>Anexa nr.5</t>
  </si>
  <si>
    <t>Cultură, sport, tineret, cult şi odihnă</t>
  </si>
  <si>
    <t>Gimnaziul-gradinita „Bogdan Petriceicu Hasdeu” s.Tătăreşti</t>
  </si>
  <si>
    <t xml:space="preserve"> Liceul Teoretic "Academician Ion Bostan" s.Brînza     </t>
  </si>
  <si>
    <t xml:space="preserve">Liceul Teoretic "Ion Creangă" or.Cahul    </t>
  </si>
  <si>
    <t xml:space="preserve">Aparatul Directiei generale învățămînt Cahul                </t>
  </si>
  <si>
    <t xml:space="preserve">Tabara de odihnă și întremare a sănătății copiilor "Romantica" s.Moscovei    </t>
  </si>
  <si>
    <t xml:space="preserve">Azilul raional de bătrîni și invalizi Cahul               </t>
  </si>
  <si>
    <t xml:space="preserve">Aparatul Directiei Asistenta Sociala și Protecția Familiei Cahul </t>
  </si>
  <si>
    <t>Secretarul Consiliului Raional Cahul</t>
  </si>
  <si>
    <t>la decizia Consiliului Raional Cahul</t>
  </si>
  <si>
    <t>nr.06/01-IV din 22.12.2016</t>
  </si>
  <si>
    <t xml:space="preserve">Gimnaziul "Ion Creanga" s.Zirnesti       </t>
  </si>
  <si>
    <t>Categoria 2 
Plata pentru locatiunea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</si>
</sst>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26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2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0" borderId="2" applyNumberFormat="0" applyFill="0" applyAlignment="0" applyProtection="0"/>
    <xf numFmtId="0" fontId="48" fillId="28" borderId="0" applyNumberFormat="0" applyBorder="0" applyAlignment="0" applyProtection="0"/>
    <xf numFmtId="0" fontId="49" fillId="27" borderId="3" applyNumberFormat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9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60" fillId="0" borderId="10" xfId="0" applyFont="1" applyBorder="1" applyAlignment="1">
      <alignment vertical="top" wrapText="1"/>
    </xf>
    <xf numFmtId="2" fontId="61" fillId="0" borderId="0" xfId="0" applyNumberFormat="1" applyFont="1" applyAlignment="1">
      <alignment/>
    </xf>
    <xf numFmtId="0" fontId="60" fillId="0" borderId="11" xfId="0" applyFont="1" applyBorder="1" applyAlignment="1">
      <alignment vertical="top" wrapText="1"/>
    </xf>
    <xf numFmtId="2" fontId="61" fillId="0" borderId="10" xfId="0" applyNumberFormat="1" applyFont="1" applyBorder="1" applyAlignment="1">
      <alignment horizontal="right" vertical="center"/>
    </xf>
    <xf numFmtId="0" fontId="60" fillId="0" borderId="11" xfId="0" applyFont="1" applyBorder="1" applyAlignment="1">
      <alignment horizontal="centerContinuous" vertical="top" wrapText="1"/>
    </xf>
    <xf numFmtId="0" fontId="60" fillId="0" borderId="11" xfId="0" applyFont="1" applyBorder="1" applyAlignment="1">
      <alignment horizontal="right" vertical="top" wrapText="1"/>
    </xf>
    <xf numFmtId="49" fontId="62" fillId="0" borderId="12" xfId="0" applyNumberFormat="1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65" fillId="0" borderId="0" xfId="0" applyFont="1" applyAlignment="1">
      <alignment/>
    </xf>
    <xf numFmtId="0" fontId="63" fillId="0" borderId="11" xfId="0" applyFont="1" applyBorder="1" applyAlignment="1">
      <alignment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right" vertical="top" wrapText="1"/>
    </xf>
    <xf numFmtId="0" fontId="63" fillId="0" borderId="13" xfId="0" applyFont="1" applyBorder="1" applyAlignment="1">
      <alignment vertical="top" wrapText="1"/>
    </xf>
    <xf numFmtId="0" fontId="63" fillId="0" borderId="14" xfId="0" applyFont="1" applyBorder="1" applyAlignment="1">
      <alignment horizontal="right" vertical="top" wrapText="1"/>
    </xf>
    <xf numFmtId="2" fontId="63" fillId="0" borderId="10" xfId="0" applyNumberFormat="1" applyFont="1" applyBorder="1" applyAlignment="1">
      <alignment horizontal="right" vertical="center"/>
    </xf>
    <xf numFmtId="2" fontId="64" fillId="0" borderId="10" xfId="0" applyNumberFormat="1" applyFont="1" applyBorder="1" applyAlignment="1">
      <alignment horizontal="right" vertical="center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5" fillId="33" borderId="0" xfId="0" applyFont="1" applyFill="1" applyAlignment="1">
      <alignment/>
    </xf>
    <xf numFmtId="2" fontId="60" fillId="0" borderId="10" xfId="0" applyNumberFormat="1" applyFont="1" applyBorder="1" applyAlignment="1">
      <alignment horizontal="center" vertical="center" wrapText="1"/>
    </xf>
    <xf numFmtId="2" fontId="60" fillId="34" borderId="10" xfId="0" applyNumberFormat="1" applyFont="1" applyFill="1" applyBorder="1" applyAlignment="1">
      <alignment horizontal="right" vertical="center"/>
    </xf>
    <xf numFmtId="0" fontId="64" fillId="34" borderId="10" xfId="0" applyFont="1" applyFill="1" applyBorder="1" applyAlignment="1">
      <alignment vertical="top" wrapText="1"/>
    </xf>
    <xf numFmtId="2" fontId="63" fillId="34" borderId="10" xfId="0" applyNumberFormat="1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vertical="top" wrapText="1"/>
    </xf>
    <xf numFmtId="0" fontId="60" fillId="34" borderId="10" xfId="0" applyFont="1" applyFill="1" applyBorder="1" applyAlignment="1">
      <alignment vertical="top" wrapText="1"/>
    </xf>
    <xf numFmtId="49" fontId="60" fillId="34" borderId="10" xfId="0" applyNumberFormat="1" applyFont="1" applyFill="1" applyBorder="1" applyAlignment="1">
      <alignment horizontal="right" vertical="center" wrapText="1"/>
    </xf>
    <xf numFmtId="0" fontId="68" fillId="34" borderId="10" xfId="0" applyFont="1" applyFill="1" applyBorder="1" applyAlignment="1">
      <alignment vertical="top" wrapText="1"/>
    </xf>
    <xf numFmtId="49" fontId="60" fillId="34" borderId="10" xfId="0" applyNumberFormat="1" applyFont="1" applyFill="1" applyBorder="1" applyAlignment="1">
      <alignment horizontal="right" vertical="top" wrapText="1"/>
    </xf>
    <xf numFmtId="49" fontId="63" fillId="34" borderId="10" xfId="0" applyNumberFormat="1" applyFont="1" applyFill="1" applyBorder="1" applyAlignment="1">
      <alignment horizontal="right" vertical="top" wrapText="1"/>
    </xf>
    <xf numFmtId="0" fontId="64" fillId="0" borderId="10" xfId="0" applyFont="1" applyBorder="1" applyAlignment="1">
      <alignment horizontal="right" vertical="top" wrapText="1"/>
    </xf>
    <xf numFmtId="0" fontId="63" fillId="0" borderId="10" xfId="0" applyFont="1" applyBorder="1" applyAlignment="1">
      <alignment horizontal="right" vertical="top" wrapText="1"/>
    </xf>
    <xf numFmtId="0" fontId="63" fillId="0" borderId="11" xfId="0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2" fontId="68" fillId="34" borderId="10" xfId="0" applyNumberFormat="1" applyFont="1" applyFill="1" applyBorder="1" applyAlignment="1">
      <alignment horizontal="right" vertical="center"/>
    </xf>
    <xf numFmtId="2" fontId="69" fillId="0" borderId="10" xfId="0" applyNumberFormat="1" applyFont="1" applyBorder="1" applyAlignment="1">
      <alignment horizontal="right" vertical="center"/>
    </xf>
    <xf numFmtId="10" fontId="69" fillId="0" borderId="10" xfId="0" applyNumberFormat="1" applyFont="1" applyBorder="1" applyAlignment="1">
      <alignment horizontal="right" vertical="center"/>
    </xf>
    <xf numFmtId="2" fontId="64" fillId="3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2" fontId="6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68" fillId="0" borderId="10" xfId="0" applyNumberFormat="1" applyFont="1" applyBorder="1" applyAlignment="1">
      <alignment/>
    </xf>
    <xf numFmtId="49" fontId="60" fillId="0" borderId="10" xfId="0" applyNumberFormat="1" applyFont="1" applyBorder="1" applyAlignment="1">
      <alignment/>
    </xf>
    <xf numFmtId="0" fontId="70" fillId="0" borderId="10" xfId="0" applyFont="1" applyBorder="1" applyAlignment="1">
      <alignment vertical="top" wrapText="1"/>
    </xf>
    <xf numFmtId="2" fontId="71" fillId="0" borderId="10" xfId="0" applyNumberFormat="1" applyFont="1" applyBorder="1" applyAlignment="1">
      <alignment/>
    </xf>
    <xf numFmtId="0" fontId="71" fillId="0" borderId="10" xfId="0" applyFont="1" applyBorder="1" applyAlignment="1">
      <alignment vertical="top" wrapText="1"/>
    </xf>
    <xf numFmtId="49" fontId="60" fillId="0" borderId="10" xfId="0" applyNumberFormat="1" applyFont="1" applyBorder="1" applyAlignment="1">
      <alignment horizontal="right"/>
    </xf>
    <xf numFmtId="49" fontId="60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6" fontId="65" fillId="0" borderId="0" xfId="0" applyNumberFormat="1" applyFont="1" applyAlignment="1">
      <alignment/>
    </xf>
    <xf numFmtId="176" fontId="66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76" fontId="65" fillId="33" borderId="0" xfId="0" applyNumberFormat="1" applyFont="1" applyFill="1" applyAlignment="1">
      <alignment/>
    </xf>
    <xf numFmtId="0" fontId="58" fillId="0" borderId="10" xfId="0" applyFont="1" applyBorder="1" applyAlignment="1">
      <alignment/>
    </xf>
    <xf numFmtId="49" fontId="58" fillId="0" borderId="10" xfId="0" applyNumberFormat="1" applyFont="1" applyBorder="1" applyAlignment="1">
      <alignment horizontal="right"/>
    </xf>
    <xf numFmtId="2" fontId="58" fillId="0" borderId="10" xfId="0" applyNumberFormat="1" applyFont="1" applyBorder="1" applyAlignment="1">
      <alignment/>
    </xf>
    <xf numFmtId="176" fontId="58" fillId="0" borderId="0" xfId="0" applyNumberFormat="1" applyFont="1" applyAlignment="1">
      <alignment/>
    </xf>
    <xf numFmtId="0" fontId="58" fillId="0" borderId="0" xfId="0" applyFont="1" applyAlignment="1">
      <alignment/>
    </xf>
    <xf numFmtId="10" fontId="61" fillId="0" borderId="10" xfId="0" applyNumberFormat="1" applyFont="1" applyBorder="1" applyAlignment="1">
      <alignment horizontal="right" vertical="center"/>
    </xf>
    <xf numFmtId="0" fontId="61" fillId="0" borderId="13" xfId="0" applyFont="1" applyBorder="1" applyAlignment="1">
      <alignment horizontal="center" vertical="center" wrapText="1"/>
    </xf>
    <xf numFmtId="10" fontId="69" fillId="0" borderId="13" xfId="0" applyNumberFormat="1" applyFont="1" applyBorder="1" applyAlignment="1">
      <alignment horizontal="right" vertical="center"/>
    </xf>
    <xf numFmtId="10" fontId="61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>
      <alignment/>
    </xf>
    <xf numFmtId="2" fontId="58" fillId="0" borderId="13" xfId="0" applyNumberFormat="1" applyFont="1" applyBorder="1" applyAlignment="1">
      <alignment/>
    </xf>
    <xf numFmtId="2" fontId="71" fillId="0" borderId="13" xfId="0" applyNumberFormat="1" applyFont="1" applyBorder="1" applyAlignment="1">
      <alignment/>
    </xf>
    <xf numFmtId="176" fontId="58" fillId="0" borderId="10" xfId="0" applyNumberFormat="1" applyFont="1" applyBorder="1" applyAlignment="1">
      <alignment wrapText="1"/>
    </xf>
    <xf numFmtId="176" fontId="0" fillId="0" borderId="10" xfId="0" applyNumberFormat="1" applyBorder="1" applyAlignment="1">
      <alignment/>
    </xf>
    <xf numFmtId="176" fontId="58" fillId="0" borderId="10" xfId="0" applyNumberFormat="1" applyFont="1" applyBorder="1" applyAlignment="1">
      <alignment/>
    </xf>
    <xf numFmtId="0" fontId="58" fillId="0" borderId="13" xfId="0" applyFont="1" applyBorder="1" applyAlignment="1">
      <alignment/>
    </xf>
    <xf numFmtId="49" fontId="58" fillId="0" borderId="14" xfId="0" applyNumberFormat="1" applyFont="1" applyBorder="1" applyAlignment="1">
      <alignment horizontal="right"/>
    </xf>
    <xf numFmtId="0" fontId="52" fillId="0" borderId="10" xfId="0" applyFont="1" applyBorder="1" applyAlignment="1">
      <alignment/>
    </xf>
    <xf numFmtId="49" fontId="72" fillId="0" borderId="10" xfId="0" applyNumberFormat="1" applyFont="1" applyBorder="1" applyAlignment="1">
      <alignment/>
    </xf>
    <xf numFmtId="49" fontId="52" fillId="0" borderId="10" xfId="0" applyNumberFormat="1" applyFont="1" applyBorder="1" applyAlignment="1">
      <alignment horizontal="right"/>
    </xf>
    <xf numFmtId="2" fontId="73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2" fontId="52" fillId="0" borderId="13" xfId="0" applyNumberFormat="1" applyFont="1" applyBorder="1" applyAlignment="1">
      <alignment/>
    </xf>
    <xf numFmtId="176" fontId="52" fillId="0" borderId="10" xfId="0" applyNumberFormat="1" applyFont="1" applyBorder="1" applyAlignment="1">
      <alignment/>
    </xf>
    <xf numFmtId="176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74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76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0" fontId="8" fillId="0" borderId="18" xfId="0" applyFont="1" applyBorder="1" applyAlignment="1">
      <alignment/>
    </xf>
    <xf numFmtId="176" fontId="8" fillId="0" borderId="19" xfId="0" applyNumberFormat="1" applyFont="1" applyBorder="1" applyAlignment="1">
      <alignment/>
    </xf>
    <xf numFmtId="49" fontId="10" fillId="0" borderId="2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10" fillId="0" borderId="21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1" xfId="0" applyFont="1" applyBorder="1" applyAlignment="1">
      <alignment/>
    </xf>
    <xf numFmtId="2" fontId="11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2" fontId="4" fillId="0" borderId="1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/>
    </xf>
    <xf numFmtId="2" fontId="4" fillId="34" borderId="13" xfId="0" applyNumberFormat="1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vertical="top" wrapText="1"/>
    </xf>
    <xf numFmtId="0" fontId="4" fillId="0" borderId="32" xfId="0" applyFont="1" applyBorder="1" applyAlignment="1">
      <alignment horizontal="left" vertical="center" wrapText="1"/>
    </xf>
    <xf numFmtId="49" fontId="4" fillId="34" borderId="32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left" vertical="center" wrapText="1"/>
    </xf>
    <xf numFmtId="0" fontId="7" fillId="34" borderId="3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34" borderId="31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/>
    </xf>
    <xf numFmtId="49" fontId="7" fillId="34" borderId="32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34" borderId="33" xfId="0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/>
    </xf>
    <xf numFmtId="176" fontId="7" fillId="34" borderId="20" xfId="0" applyNumberFormat="1" applyFont="1" applyFill="1" applyBorder="1" applyAlignment="1">
      <alignment horizontal="center" vertical="center"/>
    </xf>
    <xf numFmtId="176" fontId="4" fillId="34" borderId="20" xfId="0" applyNumberFormat="1" applyFont="1" applyFill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/>
    </xf>
    <xf numFmtId="49" fontId="4" fillId="0" borderId="2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76" fontId="7" fillId="0" borderId="3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2" fontId="7" fillId="34" borderId="38" xfId="0" applyNumberFormat="1" applyFont="1" applyFill="1" applyBorder="1" applyAlignment="1">
      <alignment horizontal="center" vertical="center"/>
    </xf>
    <xf numFmtId="2" fontId="7" fillId="34" borderId="39" xfId="0" applyNumberFormat="1" applyFont="1" applyFill="1" applyBorder="1" applyAlignment="1">
      <alignment horizontal="center" vertical="center"/>
    </xf>
    <xf numFmtId="176" fontId="7" fillId="34" borderId="40" xfId="0" applyNumberFormat="1" applyFont="1" applyFill="1" applyBorder="1" applyAlignment="1">
      <alignment horizontal="center" vertical="center"/>
    </xf>
    <xf numFmtId="176" fontId="7" fillId="34" borderId="38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2" fontId="4" fillId="34" borderId="22" xfId="0" applyNumberFormat="1" applyFont="1" applyFill="1" applyBorder="1" applyAlignment="1">
      <alignment horizontal="center" vertical="center"/>
    </xf>
    <xf numFmtId="2" fontId="4" fillId="34" borderId="29" xfId="0" applyNumberFormat="1" applyFont="1" applyFill="1" applyBorder="1" applyAlignment="1">
      <alignment horizontal="center" vertical="center"/>
    </xf>
    <xf numFmtId="176" fontId="4" fillId="34" borderId="26" xfId="0" applyNumberFormat="1" applyFont="1" applyFill="1" applyBorder="1" applyAlignment="1">
      <alignment horizontal="center" vertical="center"/>
    </xf>
    <xf numFmtId="176" fontId="4" fillId="34" borderId="22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49" fontId="4" fillId="34" borderId="34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right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2" fontId="12" fillId="0" borderId="41" xfId="0" applyNumberFormat="1" applyFont="1" applyBorder="1" applyAlignment="1">
      <alignment horizontal="left" vertical="center"/>
    </xf>
    <xf numFmtId="2" fontId="12" fillId="0" borderId="0" xfId="0" applyNumberFormat="1" applyFont="1" applyAlignment="1">
      <alignment horizontal="left" vertical="center"/>
    </xf>
    <xf numFmtId="0" fontId="12" fillId="0" borderId="41" xfId="0" applyFont="1" applyBorder="1" applyAlignment="1">
      <alignment horizontal="left" vertical="center" wrapText="1"/>
    </xf>
    <xf numFmtId="0" fontId="12" fillId="34" borderId="41" xfId="0" applyFont="1" applyFill="1" applyBorder="1" applyAlignment="1">
      <alignment horizontal="center" vertical="center" wrapText="1"/>
    </xf>
    <xf numFmtId="49" fontId="12" fillId="34" borderId="42" xfId="0" applyNumberFormat="1" applyFont="1" applyFill="1" applyBorder="1" applyAlignment="1">
      <alignment horizontal="right" vertical="center" wrapText="1"/>
    </xf>
    <xf numFmtId="176" fontId="12" fillId="0" borderId="42" xfId="0" applyNumberFormat="1" applyFont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76" fontId="12" fillId="0" borderId="42" xfId="0" applyNumberFormat="1" applyFont="1" applyBorder="1" applyAlignment="1">
      <alignment horizontal="center" vertical="center"/>
    </xf>
    <xf numFmtId="2" fontId="12" fillId="0" borderId="42" xfId="0" applyNumberFormat="1" applyFont="1" applyBorder="1" applyAlignment="1">
      <alignment horizontal="center" vertical="center"/>
    </xf>
    <xf numFmtId="2" fontId="12" fillId="0" borderId="43" xfId="0" applyNumberFormat="1" applyFont="1" applyBorder="1" applyAlignment="1">
      <alignment horizontal="center" vertical="center"/>
    </xf>
    <xf numFmtId="176" fontId="12" fillId="0" borderId="44" xfId="0" applyNumberFormat="1" applyFont="1" applyBorder="1" applyAlignment="1">
      <alignment horizontal="center" vertical="center"/>
    </xf>
    <xf numFmtId="176" fontId="12" fillId="0" borderId="45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34" borderId="46" xfId="0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/>
    </xf>
    <xf numFmtId="49" fontId="12" fillId="34" borderId="41" xfId="0" applyNumberFormat="1" applyFont="1" applyFill="1" applyBorder="1" applyAlignment="1">
      <alignment horizontal="center" vertical="center" wrapText="1"/>
    </xf>
    <xf numFmtId="49" fontId="4" fillId="34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/>
    </xf>
    <xf numFmtId="0" fontId="4" fillId="34" borderId="47" xfId="0" applyFont="1" applyFill="1" applyBorder="1" applyAlignment="1">
      <alignment horizontal="left" vertical="center" wrapText="1"/>
    </xf>
    <xf numFmtId="49" fontId="4" fillId="34" borderId="47" xfId="0" applyNumberFormat="1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49" fontId="7" fillId="34" borderId="49" xfId="0" applyNumberFormat="1" applyFont="1" applyFill="1" applyBorder="1" applyAlignment="1">
      <alignment horizontal="right" vertical="center" wrapText="1"/>
    </xf>
    <xf numFmtId="176" fontId="7" fillId="0" borderId="49" xfId="0" applyNumberFormat="1" applyFont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5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0" fontId="4" fillId="34" borderId="52" xfId="0" applyFont="1" applyFill="1" applyBorder="1" applyAlignment="1">
      <alignment/>
    </xf>
    <xf numFmtId="49" fontId="12" fillId="0" borderId="46" xfId="0" applyNumberFormat="1" applyFont="1" applyBorder="1" applyAlignment="1">
      <alignment horizontal="center" vertical="center"/>
    </xf>
    <xf numFmtId="2" fontId="12" fillId="0" borderId="42" xfId="0" applyNumberFormat="1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176" fontId="12" fillId="0" borderId="44" xfId="0" applyNumberFormat="1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 wrapText="1"/>
    </xf>
    <xf numFmtId="49" fontId="12" fillId="0" borderId="46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49" fontId="12" fillId="0" borderId="42" xfId="0" applyNumberFormat="1" applyFont="1" applyBorder="1" applyAlignment="1">
      <alignment horizontal="center" vertical="center" wrapText="1"/>
    </xf>
    <xf numFmtId="2" fontId="12" fillId="34" borderId="42" xfId="0" applyNumberFormat="1" applyFont="1" applyFill="1" applyBorder="1" applyAlignment="1">
      <alignment horizontal="center" vertical="center"/>
    </xf>
    <xf numFmtId="2" fontId="12" fillId="34" borderId="43" xfId="0" applyNumberFormat="1" applyFont="1" applyFill="1" applyBorder="1" applyAlignment="1">
      <alignment horizontal="center" vertical="center"/>
    </xf>
    <xf numFmtId="176" fontId="12" fillId="34" borderId="44" xfId="0" applyNumberFormat="1" applyFont="1" applyFill="1" applyBorder="1" applyAlignment="1">
      <alignment horizontal="center" vertical="center"/>
    </xf>
    <xf numFmtId="176" fontId="12" fillId="34" borderId="42" xfId="0" applyNumberFormat="1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49" fontId="12" fillId="0" borderId="54" xfId="0" applyNumberFormat="1" applyFont="1" applyBorder="1" applyAlignment="1">
      <alignment/>
    </xf>
    <xf numFmtId="49" fontId="12" fillId="0" borderId="54" xfId="0" applyNumberFormat="1" applyFont="1" applyBorder="1" applyAlignment="1">
      <alignment horizontal="center"/>
    </xf>
    <xf numFmtId="49" fontId="12" fillId="0" borderId="5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right"/>
    </xf>
    <xf numFmtId="176" fontId="12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2" fillId="0" borderId="28" xfId="0" applyNumberFormat="1" applyFont="1" applyBorder="1" applyAlignment="1">
      <alignment horizontal="center" vertical="center"/>
    </xf>
    <xf numFmtId="176" fontId="12" fillId="0" borderId="56" xfId="0" applyNumberFormat="1" applyFont="1" applyBorder="1" applyAlignment="1">
      <alignment horizontal="center" vertical="center"/>
    </xf>
    <xf numFmtId="176" fontId="12" fillId="0" borderId="55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49" fontId="71" fillId="0" borderId="13" xfId="0" applyNumberFormat="1" applyFont="1" applyBorder="1" applyAlignment="1">
      <alignment horizontal="left"/>
    </xf>
    <xf numFmtId="49" fontId="71" fillId="0" borderId="14" xfId="0" applyNumberFormat="1" applyFont="1" applyBorder="1" applyAlignment="1">
      <alignment horizontal="left"/>
    </xf>
    <xf numFmtId="49" fontId="60" fillId="0" borderId="10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 vertical="center" wrapText="1"/>
    </xf>
    <xf numFmtId="49" fontId="60" fillId="0" borderId="22" xfId="0" applyNumberFormat="1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2" fontId="75" fillId="0" borderId="57" xfId="0" applyNumberFormat="1" applyFont="1" applyBorder="1" applyAlignment="1">
      <alignment horizontal="center" vertical="center" wrapText="1"/>
    </xf>
    <xf numFmtId="2" fontId="61" fillId="0" borderId="13" xfId="0" applyNumberFormat="1" applyFont="1" applyBorder="1" applyAlignment="1">
      <alignment horizontal="center" vertical="center"/>
    </xf>
    <xf numFmtId="2" fontId="61" fillId="0" borderId="12" xfId="0" applyNumberFormat="1" applyFont="1" applyBorder="1" applyAlignment="1">
      <alignment horizontal="center" vertical="center"/>
    </xf>
    <xf numFmtId="2" fontId="61" fillId="0" borderId="14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 wrapText="1"/>
    </xf>
    <xf numFmtId="176" fontId="4" fillId="0" borderId="58" xfId="0" applyNumberFormat="1" applyFont="1" applyBorder="1" applyAlignment="1">
      <alignment horizontal="center" vertical="center" wrapText="1"/>
    </xf>
    <xf numFmtId="176" fontId="4" fillId="0" borderId="48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4" fillId="0" borderId="51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56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85" zoomScaleSheetLayoutView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F45" sqref="F45"/>
    </sheetView>
  </sheetViews>
  <sheetFormatPr defaultColWidth="9.140625" defaultRowHeight="15"/>
  <cols>
    <col min="1" max="1" width="5.8515625" style="0" customWidth="1"/>
    <col min="2" max="2" width="53.57421875" style="1" customWidth="1"/>
    <col min="3" max="3" width="12.7109375" style="38" customWidth="1"/>
    <col min="4" max="4" width="9.57421875" style="4" customWidth="1"/>
    <col min="5" max="5" width="11.28125" style="0" customWidth="1"/>
    <col min="6" max="6" width="10.7109375" style="0" customWidth="1"/>
    <col min="7" max="7" width="13.57421875" style="0" customWidth="1"/>
    <col min="8" max="8" width="12.8515625" style="0" customWidth="1"/>
    <col min="9" max="9" width="14.00390625" style="53" customWidth="1"/>
    <col min="10" max="10" width="9.140625" style="53" customWidth="1"/>
  </cols>
  <sheetData>
    <row r="1" spans="2:7" ht="39" customHeight="1">
      <c r="B1" s="351" t="s">
        <v>86</v>
      </c>
      <c r="C1" s="351"/>
      <c r="D1" s="351"/>
      <c r="E1" s="351"/>
      <c r="F1" s="351"/>
      <c r="G1" s="351"/>
    </row>
    <row r="2" spans="1:9" ht="26.25" customHeight="1">
      <c r="A2" s="349" t="s">
        <v>49</v>
      </c>
      <c r="B2" s="346" t="s">
        <v>50</v>
      </c>
      <c r="C2" s="347" t="s">
        <v>51</v>
      </c>
      <c r="D2" s="352" t="s">
        <v>69</v>
      </c>
      <c r="E2" s="353"/>
      <c r="F2" s="354"/>
      <c r="G2" s="355" t="s">
        <v>52</v>
      </c>
      <c r="H2" s="356"/>
      <c r="I2" s="71" t="s">
        <v>91</v>
      </c>
    </row>
    <row r="3" spans="1:9" ht="44.25" customHeight="1">
      <c r="A3" s="350"/>
      <c r="B3" s="346"/>
      <c r="C3" s="348"/>
      <c r="D3" s="24" t="s">
        <v>66</v>
      </c>
      <c r="E3" s="10" t="s">
        <v>67</v>
      </c>
      <c r="F3" s="10" t="s">
        <v>68</v>
      </c>
      <c r="G3" s="10" t="s">
        <v>70</v>
      </c>
      <c r="H3" s="65" t="s">
        <v>53</v>
      </c>
      <c r="I3" s="72"/>
    </row>
    <row r="4" spans="1:10" s="2" customFormat="1" ht="15" customHeight="1">
      <c r="A4" s="3">
        <v>1</v>
      </c>
      <c r="B4" s="3" t="s">
        <v>6</v>
      </c>
      <c r="C4" s="16">
        <v>1641</v>
      </c>
      <c r="D4" s="40">
        <v>0</v>
      </c>
      <c r="E4" s="40"/>
      <c r="F4" s="40"/>
      <c r="G4" s="41"/>
      <c r="H4" s="66"/>
      <c r="I4" s="72"/>
      <c r="J4" s="54"/>
    </row>
    <row r="5" spans="1:9" ht="15">
      <c r="A5" s="3">
        <v>2</v>
      </c>
      <c r="B5" s="3" t="s">
        <v>4</v>
      </c>
      <c r="C5" s="16">
        <v>1642</v>
      </c>
      <c r="D5" s="40">
        <v>0</v>
      </c>
      <c r="E5" s="40"/>
      <c r="F5" s="40"/>
      <c r="G5" s="41"/>
      <c r="H5" s="66"/>
      <c r="I5" s="72"/>
    </row>
    <row r="6" spans="1:9" ht="15">
      <c r="A6" s="3">
        <v>3</v>
      </c>
      <c r="B6" s="3" t="s">
        <v>5</v>
      </c>
      <c r="C6" s="16">
        <v>1643</v>
      </c>
      <c r="D6" s="6">
        <v>0</v>
      </c>
      <c r="E6" s="40"/>
      <c r="F6" s="40"/>
      <c r="G6" s="41"/>
      <c r="H6" s="66"/>
      <c r="I6" s="72"/>
    </row>
    <row r="7" spans="1:9" ht="15">
      <c r="A7" s="3">
        <v>4</v>
      </c>
      <c r="B7" s="3" t="s">
        <v>7</v>
      </c>
      <c r="C7" s="16">
        <v>1644</v>
      </c>
      <c r="D7" s="6">
        <v>0</v>
      </c>
      <c r="E7" s="40"/>
      <c r="F7" s="40"/>
      <c r="G7" s="41"/>
      <c r="H7" s="66"/>
      <c r="I7" s="72"/>
    </row>
    <row r="8" spans="1:9" ht="15">
      <c r="A8" s="3">
        <v>5</v>
      </c>
      <c r="B8" s="3" t="s">
        <v>2</v>
      </c>
      <c r="C8" s="16">
        <v>1645</v>
      </c>
      <c r="D8" s="40">
        <v>41</v>
      </c>
      <c r="E8" s="40">
        <f>41/2</f>
        <v>20.5</v>
      </c>
      <c r="F8" s="40">
        <v>25.09</v>
      </c>
      <c r="G8" s="41">
        <f>F8/D8</f>
        <v>0.6119512195121951</v>
      </c>
      <c r="H8" s="66">
        <f>F8/E8</f>
        <v>1.2239024390243902</v>
      </c>
      <c r="I8" s="72">
        <f>F8/6*3+F8</f>
        <v>37.635</v>
      </c>
    </row>
    <row r="9" spans="1:9" ht="15">
      <c r="A9" s="3">
        <v>6</v>
      </c>
      <c r="B9" s="3" t="s">
        <v>3</v>
      </c>
      <c r="C9" s="16">
        <v>1646</v>
      </c>
      <c r="D9" s="40">
        <v>35</v>
      </c>
      <c r="E9" s="40">
        <f>35/2</f>
        <v>17.5</v>
      </c>
      <c r="F9" s="40">
        <v>40.26</v>
      </c>
      <c r="G9" s="41">
        <f aca="true" t="shared" si="0" ref="G9:G70">F9/D9</f>
        <v>1.1502857142857141</v>
      </c>
      <c r="H9" s="66">
        <f aca="true" t="shared" si="1" ref="H9:H72">F9/E9</f>
        <v>2.3005714285714283</v>
      </c>
      <c r="I9" s="72">
        <f aca="true" t="shared" si="2" ref="I9:I70">F9/6*3+F9</f>
        <v>60.39</v>
      </c>
    </row>
    <row r="10" spans="1:9" ht="15">
      <c r="A10" s="3">
        <v>7</v>
      </c>
      <c r="B10" s="3" t="s">
        <v>8</v>
      </c>
      <c r="C10" s="16">
        <v>1647</v>
      </c>
      <c r="D10" s="6">
        <v>41</v>
      </c>
      <c r="E10" s="40">
        <f>41/2</f>
        <v>20.5</v>
      </c>
      <c r="F10" s="40">
        <v>9.92</v>
      </c>
      <c r="G10" s="41">
        <f t="shared" si="0"/>
        <v>0.24195121951219511</v>
      </c>
      <c r="H10" s="66">
        <f t="shared" si="1"/>
        <v>0.48390243902439023</v>
      </c>
      <c r="I10" s="72">
        <f t="shared" si="2"/>
        <v>14.879999999999999</v>
      </c>
    </row>
    <row r="11" spans="1:9" ht="15">
      <c r="A11" s="3">
        <v>8</v>
      </c>
      <c r="B11" s="3" t="s">
        <v>9</v>
      </c>
      <c r="C11" s="16">
        <v>1648</v>
      </c>
      <c r="D11" s="6">
        <v>63.3</v>
      </c>
      <c r="E11" s="40">
        <f>63.3/2</f>
        <v>31.65</v>
      </c>
      <c r="F11" s="40">
        <v>38.23</v>
      </c>
      <c r="G11" s="41">
        <f t="shared" si="0"/>
        <v>0.6039494470774092</v>
      </c>
      <c r="H11" s="66">
        <f t="shared" si="1"/>
        <v>1.2078988941548183</v>
      </c>
      <c r="I11" s="72">
        <f t="shared" si="2"/>
        <v>57.345</v>
      </c>
    </row>
    <row r="12" spans="1:9" ht="15">
      <c r="A12" s="3">
        <v>9</v>
      </c>
      <c r="B12" s="3" t="s">
        <v>54</v>
      </c>
      <c r="C12" s="16">
        <v>1649</v>
      </c>
      <c r="D12" s="40">
        <v>0</v>
      </c>
      <c r="E12" s="40"/>
      <c r="F12" s="40"/>
      <c r="G12" s="41"/>
      <c r="H12" s="66"/>
      <c r="I12" s="72">
        <f t="shared" si="2"/>
        <v>0</v>
      </c>
    </row>
    <row r="13" spans="1:9" ht="15">
      <c r="A13" s="3">
        <v>10</v>
      </c>
      <c r="B13" s="3" t="s">
        <v>10</v>
      </c>
      <c r="C13" s="16">
        <v>1650</v>
      </c>
      <c r="D13" s="6">
        <v>18</v>
      </c>
      <c r="E13" s="40">
        <f>18/2</f>
        <v>9</v>
      </c>
      <c r="F13" s="40">
        <v>5.6</v>
      </c>
      <c r="G13" s="41">
        <f t="shared" si="0"/>
        <v>0.3111111111111111</v>
      </c>
      <c r="H13" s="66">
        <f t="shared" si="1"/>
        <v>0.6222222222222222</v>
      </c>
      <c r="I13" s="72">
        <f t="shared" si="2"/>
        <v>8.399999999999999</v>
      </c>
    </row>
    <row r="14" spans="1:9" ht="15">
      <c r="A14" s="3">
        <v>11</v>
      </c>
      <c r="B14" s="3" t="s">
        <v>11</v>
      </c>
      <c r="C14" s="16">
        <v>1651</v>
      </c>
      <c r="D14" s="6">
        <v>125.1</v>
      </c>
      <c r="E14" s="40">
        <f>125.1/2</f>
        <v>62.55</v>
      </c>
      <c r="F14" s="40">
        <v>17.56</v>
      </c>
      <c r="G14" s="41">
        <f t="shared" si="0"/>
        <v>0.14036770583533173</v>
      </c>
      <c r="H14" s="66">
        <f t="shared" si="1"/>
        <v>0.28073541167066346</v>
      </c>
      <c r="I14" s="72">
        <f t="shared" si="2"/>
        <v>26.339999999999996</v>
      </c>
    </row>
    <row r="15" spans="1:9" ht="15">
      <c r="A15" s="3">
        <v>12</v>
      </c>
      <c r="B15" s="3" t="s">
        <v>12</v>
      </c>
      <c r="C15" s="16">
        <v>1652</v>
      </c>
      <c r="D15" s="6">
        <v>0</v>
      </c>
      <c r="E15" s="40"/>
      <c r="F15" s="40"/>
      <c r="G15" s="41"/>
      <c r="H15" s="66"/>
      <c r="I15" s="72">
        <f t="shared" si="2"/>
        <v>0</v>
      </c>
    </row>
    <row r="16" spans="1:9" ht="15">
      <c r="A16" s="3">
        <v>13</v>
      </c>
      <c r="B16" s="3" t="s">
        <v>13</v>
      </c>
      <c r="C16" s="16">
        <v>1653</v>
      </c>
      <c r="D16" s="6">
        <v>0</v>
      </c>
      <c r="E16" s="40"/>
      <c r="F16" s="40"/>
      <c r="G16" s="41"/>
      <c r="H16" s="66"/>
      <c r="I16" s="72">
        <f t="shared" si="2"/>
        <v>0</v>
      </c>
    </row>
    <row r="17" spans="1:9" ht="15">
      <c r="A17" s="3">
        <v>14</v>
      </c>
      <c r="B17" s="3" t="s">
        <v>14</v>
      </c>
      <c r="C17" s="16">
        <v>1654</v>
      </c>
      <c r="D17" s="6">
        <v>2</v>
      </c>
      <c r="E17" s="40">
        <f>2/2</f>
        <v>1</v>
      </c>
      <c r="F17" s="40">
        <v>0</v>
      </c>
      <c r="G17" s="41">
        <f t="shared" si="0"/>
        <v>0</v>
      </c>
      <c r="H17" s="66">
        <f t="shared" si="1"/>
        <v>0</v>
      </c>
      <c r="I17" s="72">
        <f t="shared" si="2"/>
        <v>0</v>
      </c>
    </row>
    <row r="18" spans="1:9" ht="15">
      <c r="A18" s="3">
        <v>15</v>
      </c>
      <c r="B18" s="3" t="s">
        <v>15</v>
      </c>
      <c r="C18" s="16">
        <v>1655</v>
      </c>
      <c r="D18" s="40">
        <v>38.2</v>
      </c>
      <c r="E18" s="40">
        <f>38.2/2</f>
        <v>19.1</v>
      </c>
      <c r="F18" s="40">
        <v>10.42</v>
      </c>
      <c r="G18" s="41">
        <f t="shared" si="0"/>
        <v>0.27277486910994764</v>
      </c>
      <c r="H18" s="66">
        <f t="shared" si="1"/>
        <v>0.5455497382198953</v>
      </c>
      <c r="I18" s="72">
        <f t="shared" si="2"/>
        <v>15.629999999999999</v>
      </c>
    </row>
    <row r="19" spans="1:9" ht="18" customHeight="1">
      <c r="A19" s="3">
        <v>16</v>
      </c>
      <c r="B19" s="3" t="s">
        <v>16</v>
      </c>
      <c r="C19" s="16">
        <v>1656</v>
      </c>
      <c r="D19" s="6">
        <v>0</v>
      </c>
      <c r="E19" s="40"/>
      <c r="F19" s="40"/>
      <c r="G19" s="41"/>
      <c r="H19" s="66"/>
      <c r="I19" s="72">
        <f t="shared" si="2"/>
        <v>0</v>
      </c>
    </row>
    <row r="20" spans="1:9" ht="15">
      <c r="A20" s="3">
        <v>17</v>
      </c>
      <c r="B20" s="3" t="s">
        <v>17</v>
      </c>
      <c r="C20" s="16">
        <v>1657</v>
      </c>
      <c r="D20" s="6">
        <v>18.5</v>
      </c>
      <c r="E20" s="40">
        <f>18.5/2</f>
        <v>9.25</v>
      </c>
      <c r="F20" s="40">
        <v>10.08</v>
      </c>
      <c r="G20" s="41">
        <f t="shared" si="0"/>
        <v>0.5448648648648649</v>
      </c>
      <c r="H20" s="66">
        <f t="shared" si="1"/>
        <v>1.0897297297297297</v>
      </c>
      <c r="I20" s="72">
        <f t="shared" si="2"/>
        <v>15.120000000000001</v>
      </c>
    </row>
    <row r="21" spans="1:9" ht="15">
      <c r="A21" s="3">
        <v>18</v>
      </c>
      <c r="B21" s="3" t="s">
        <v>18</v>
      </c>
      <c r="C21" s="16">
        <v>1658</v>
      </c>
      <c r="D21" s="6">
        <v>0</v>
      </c>
      <c r="E21" s="40"/>
      <c r="F21" s="40"/>
      <c r="G21" s="41"/>
      <c r="H21" s="66"/>
      <c r="I21" s="72">
        <f t="shared" si="2"/>
        <v>0</v>
      </c>
    </row>
    <row r="22" spans="1:9" ht="15">
      <c r="A22" s="3">
        <v>19</v>
      </c>
      <c r="B22" s="3" t="s">
        <v>56</v>
      </c>
      <c r="C22" s="16">
        <v>1661</v>
      </c>
      <c r="D22" s="6">
        <v>37.2</v>
      </c>
      <c r="E22" s="6">
        <f>37.2/2</f>
        <v>18.6</v>
      </c>
      <c r="F22" s="6">
        <v>31.33</v>
      </c>
      <c r="G22" s="41">
        <f t="shared" si="0"/>
        <v>0.8422043010752687</v>
      </c>
      <c r="H22" s="66">
        <f t="shared" si="1"/>
        <v>1.6844086021505373</v>
      </c>
      <c r="I22" s="72">
        <f t="shared" si="2"/>
        <v>46.995</v>
      </c>
    </row>
    <row r="23" spans="1:10" s="13" customFormat="1" ht="14.25">
      <c r="A23" s="12"/>
      <c r="B23" s="12" t="s">
        <v>55</v>
      </c>
      <c r="C23" s="34"/>
      <c r="D23" s="20">
        <v>3</v>
      </c>
      <c r="E23" s="20">
        <f>3/2</f>
        <v>1.5</v>
      </c>
      <c r="F23" s="20">
        <v>2.53</v>
      </c>
      <c r="G23" s="41">
        <f t="shared" si="0"/>
        <v>0.8433333333333333</v>
      </c>
      <c r="H23" s="66">
        <f t="shared" si="1"/>
        <v>1.6866666666666665</v>
      </c>
      <c r="I23" s="72">
        <f>F23/6*12</f>
        <v>5.06</v>
      </c>
      <c r="J23" s="55"/>
    </row>
    <row r="24" spans="1:9" ht="15">
      <c r="A24" s="3">
        <v>20</v>
      </c>
      <c r="B24" s="3" t="s">
        <v>19</v>
      </c>
      <c r="C24" s="16">
        <v>1675</v>
      </c>
      <c r="D24" s="6">
        <v>36.2</v>
      </c>
      <c r="E24" s="40">
        <f>36.2/2</f>
        <v>18.1</v>
      </c>
      <c r="F24" s="40">
        <v>20.52</v>
      </c>
      <c r="G24" s="41">
        <f t="shared" si="0"/>
        <v>0.5668508287292817</v>
      </c>
      <c r="H24" s="66">
        <f t="shared" si="1"/>
        <v>1.1337016574585634</v>
      </c>
      <c r="I24" s="72">
        <f t="shared" si="2"/>
        <v>30.78</v>
      </c>
    </row>
    <row r="25" spans="1:9" ht="15">
      <c r="A25" s="3">
        <v>21</v>
      </c>
      <c r="B25" s="3" t="s">
        <v>20</v>
      </c>
      <c r="C25" s="16">
        <v>1676</v>
      </c>
      <c r="D25" s="6">
        <v>58.2</v>
      </c>
      <c r="E25" s="40">
        <f>58.2/2</f>
        <v>29.1</v>
      </c>
      <c r="F25" s="40">
        <v>22.23</v>
      </c>
      <c r="G25" s="41">
        <f t="shared" si="0"/>
        <v>0.3819587628865979</v>
      </c>
      <c r="H25" s="66">
        <f t="shared" si="1"/>
        <v>0.7639175257731958</v>
      </c>
      <c r="I25" s="72">
        <f t="shared" si="2"/>
        <v>33.345</v>
      </c>
    </row>
    <row r="26" spans="1:9" ht="15">
      <c r="A26" s="3">
        <v>22</v>
      </c>
      <c r="B26" s="3" t="s">
        <v>45</v>
      </c>
      <c r="C26" s="16">
        <v>1683</v>
      </c>
      <c r="D26" s="6">
        <v>59.9</v>
      </c>
      <c r="E26" s="40">
        <f>59.9/2</f>
        <v>29.95</v>
      </c>
      <c r="F26" s="40">
        <v>18.58</v>
      </c>
      <c r="G26" s="41">
        <f t="shared" si="0"/>
        <v>0.3101836393989983</v>
      </c>
      <c r="H26" s="66">
        <f t="shared" si="1"/>
        <v>0.6203672787979966</v>
      </c>
      <c r="I26" s="72">
        <f t="shared" si="2"/>
        <v>27.869999999999997</v>
      </c>
    </row>
    <row r="27" spans="1:9" ht="15">
      <c r="A27" s="3">
        <v>23</v>
      </c>
      <c r="B27" s="3" t="s">
        <v>46</v>
      </c>
      <c r="C27" s="16">
        <v>1684</v>
      </c>
      <c r="D27" s="40">
        <v>18</v>
      </c>
      <c r="E27" s="40">
        <f>18/2</f>
        <v>9</v>
      </c>
      <c r="F27" s="40">
        <v>11.18</v>
      </c>
      <c r="G27" s="41">
        <f t="shared" si="0"/>
        <v>0.6211111111111111</v>
      </c>
      <c r="H27" s="66">
        <f t="shared" si="1"/>
        <v>1.2422222222222221</v>
      </c>
      <c r="I27" s="72">
        <f t="shared" si="2"/>
        <v>16.77</v>
      </c>
    </row>
    <row r="28" spans="1:9" ht="15">
      <c r="A28" s="3">
        <v>24</v>
      </c>
      <c r="B28" s="3" t="s">
        <v>21</v>
      </c>
      <c r="C28" s="16">
        <v>1685</v>
      </c>
      <c r="D28" s="6">
        <v>61.1</v>
      </c>
      <c r="E28" s="40">
        <f>61.1/2</f>
        <v>30.55</v>
      </c>
      <c r="F28" s="40">
        <v>36.38</v>
      </c>
      <c r="G28" s="41">
        <f t="shared" si="0"/>
        <v>0.595417348608838</v>
      </c>
      <c r="H28" s="66">
        <f t="shared" si="1"/>
        <v>1.190834697217676</v>
      </c>
      <c r="I28" s="72">
        <f t="shared" si="2"/>
        <v>54.57000000000001</v>
      </c>
    </row>
    <row r="29" spans="1:9" ht="15">
      <c r="A29" s="3">
        <v>25</v>
      </c>
      <c r="B29" s="3" t="s">
        <v>22</v>
      </c>
      <c r="C29" s="16">
        <v>1686</v>
      </c>
      <c r="D29" s="6">
        <v>98.5</v>
      </c>
      <c r="E29" s="40">
        <f>98.5/2</f>
        <v>49.25</v>
      </c>
      <c r="F29" s="40">
        <v>43.25</v>
      </c>
      <c r="G29" s="41">
        <f t="shared" si="0"/>
        <v>0.43908629441624364</v>
      </c>
      <c r="H29" s="66">
        <f t="shared" si="1"/>
        <v>0.8781725888324873</v>
      </c>
      <c r="I29" s="72">
        <f t="shared" si="2"/>
        <v>64.875</v>
      </c>
    </row>
    <row r="30" spans="1:9" ht="15">
      <c r="A30" s="3">
        <v>26</v>
      </c>
      <c r="B30" s="3" t="s">
        <v>23</v>
      </c>
      <c r="C30" s="16">
        <v>1687</v>
      </c>
      <c r="D30" s="40">
        <v>0</v>
      </c>
      <c r="E30" s="40"/>
      <c r="F30" s="40"/>
      <c r="G30" s="41"/>
      <c r="H30" s="66"/>
      <c r="I30" s="72">
        <f t="shared" si="2"/>
        <v>0</v>
      </c>
    </row>
    <row r="31" spans="1:9" ht="15">
      <c r="A31" s="3">
        <v>27</v>
      </c>
      <c r="B31" s="3" t="s">
        <v>24</v>
      </c>
      <c r="C31" s="16">
        <v>1688</v>
      </c>
      <c r="D31" s="6">
        <v>0</v>
      </c>
      <c r="E31" s="40"/>
      <c r="F31" s="40"/>
      <c r="G31" s="41"/>
      <c r="H31" s="66"/>
      <c r="I31" s="72">
        <f t="shared" si="2"/>
        <v>0</v>
      </c>
    </row>
    <row r="32" spans="1:9" ht="15">
      <c r="A32" s="3">
        <v>28</v>
      </c>
      <c r="B32" s="3" t="s">
        <v>25</v>
      </c>
      <c r="C32" s="16">
        <v>1689</v>
      </c>
      <c r="D32" s="6">
        <v>66.7</v>
      </c>
      <c r="E32" s="40">
        <f>66.7/2</f>
        <v>33.35</v>
      </c>
      <c r="F32" s="40">
        <v>43.43</v>
      </c>
      <c r="G32" s="41">
        <f t="shared" si="0"/>
        <v>0.6511244377811094</v>
      </c>
      <c r="H32" s="66">
        <f t="shared" si="1"/>
        <v>1.3022488755622188</v>
      </c>
      <c r="I32" s="72">
        <f t="shared" si="2"/>
        <v>65.145</v>
      </c>
    </row>
    <row r="33" spans="1:9" ht="15">
      <c r="A33" s="3">
        <v>29</v>
      </c>
      <c r="B33" s="3" t="s">
        <v>26</v>
      </c>
      <c r="C33" s="16">
        <v>1690</v>
      </c>
      <c r="D33" s="6">
        <v>52.2</v>
      </c>
      <c r="E33" s="40">
        <f>52.2/2</f>
        <v>26.1</v>
      </c>
      <c r="F33" s="40">
        <v>20.67</v>
      </c>
      <c r="G33" s="41">
        <f t="shared" si="0"/>
        <v>0.3959770114942529</v>
      </c>
      <c r="H33" s="66">
        <f t="shared" si="1"/>
        <v>0.7919540229885058</v>
      </c>
      <c r="I33" s="72">
        <f t="shared" si="2"/>
        <v>31.005000000000003</v>
      </c>
    </row>
    <row r="34" spans="1:9" ht="15">
      <c r="A34" s="3">
        <v>30</v>
      </c>
      <c r="B34" s="3" t="s">
        <v>27</v>
      </c>
      <c r="C34" s="16">
        <v>1692</v>
      </c>
      <c r="D34" s="40">
        <v>59.9</v>
      </c>
      <c r="E34" s="40">
        <f>59.9/2</f>
        <v>29.95</v>
      </c>
      <c r="F34" s="40">
        <v>36.3</v>
      </c>
      <c r="G34" s="41">
        <f t="shared" si="0"/>
        <v>0.6060100166944908</v>
      </c>
      <c r="H34" s="66">
        <f t="shared" si="1"/>
        <v>1.2120200333889817</v>
      </c>
      <c r="I34" s="72">
        <f t="shared" si="2"/>
        <v>54.449999999999996</v>
      </c>
    </row>
    <row r="35" spans="1:9" ht="15">
      <c r="A35" s="3">
        <v>31</v>
      </c>
      <c r="B35" s="3" t="s">
        <v>47</v>
      </c>
      <c r="C35" s="16">
        <v>1693</v>
      </c>
      <c r="D35" s="40">
        <v>388.2</v>
      </c>
      <c r="E35" s="40">
        <f>388.2/2</f>
        <v>194.1</v>
      </c>
      <c r="F35" s="40">
        <v>229.85</v>
      </c>
      <c r="G35" s="41">
        <f t="shared" si="0"/>
        <v>0.592091705306543</v>
      </c>
      <c r="H35" s="66">
        <f t="shared" si="1"/>
        <v>1.184183410613086</v>
      </c>
      <c r="I35" s="72">
        <f t="shared" si="2"/>
        <v>344.775</v>
      </c>
    </row>
    <row r="36" spans="1:9" ht="15">
      <c r="A36" s="3">
        <v>32</v>
      </c>
      <c r="B36" s="3" t="s">
        <v>28</v>
      </c>
      <c r="C36" s="16">
        <v>1698</v>
      </c>
      <c r="D36" s="40">
        <v>20.5</v>
      </c>
      <c r="E36" s="40">
        <f>20.5/2</f>
        <v>10.25</v>
      </c>
      <c r="F36" s="40">
        <v>12.93</v>
      </c>
      <c r="G36" s="41">
        <f t="shared" si="0"/>
        <v>0.6307317073170732</v>
      </c>
      <c r="H36" s="66">
        <f t="shared" si="1"/>
        <v>1.2614634146341464</v>
      </c>
      <c r="I36" s="72">
        <f t="shared" si="2"/>
        <v>19.395</v>
      </c>
    </row>
    <row r="37" spans="1:9" ht="15">
      <c r="A37" s="3">
        <v>33</v>
      </c>
      <c r="B37" s="3" t="s">
        <v>29</v>
      </c>
      <c r="C37" s="16">
        <v>1701</v>
      </c>
      <c r="D37" s="6">
        <v>31.8</v>
      </c>
      <c r="E37" s="40">
        <f>31.8/2</f>
        <v>15.9</v>
      </c>
      <c r="F37" s="40">
        <v>16.85</v>
      </c>
      <c r="G37" s="41">
        <f t="shared" si="0"/>
        <v>0.529874213836478</v>
      </c>
      <c r="H37" s="66">
        <f t="shared" si="1"/>
        <v>1.059748427672956</v>
      </c>
      <c r="I37" s="72">
        <f t="shared" si="2"/>
        <v>25.275000000000002</v>
      </c>
    </row>
    <row r="38" spans="1:9" ht="15">
      <c r="A38" s="3">
        <v>34</v>
      </c>
      <c r="B38" s="3" t="s">
        <v>57</v>
      </c>
      <c r="C38" s="16">
        <v>1702</v>
      </c>
      <c r="D38" s="6">
        <v>145.6</v>
      </c>
      <c r="E38" s="40">
        <f>145.6/2</f>
        <v>72.8</v>
      </c>
      <c r="F38" s="40">
        <v>35.8</v>
      </c>
      <c r="G38" s="41">
        <f t="shared" si="0"/>
        <v>0.24587912087912087</v>
      </c>
      <c r="H38" s="66">
        <f t="shared" si="1"/>
        <v>0.49175824175824173</v>
      </c>
      <c r="I38" s="72">
        <f t="shared" si="2"/>
        <v>53.699999999999996</v>
      </c>
    </row>
    <row r="39" spans="1:10" s="13" customFormat="1" ht="14.25">
      <c r="A39" s="11"/>
      <c r="B39" s="12" t="s">
        <v>55</v>
      </c>
      <c r="C39" s="35"/>
      <c r="D39" s="20">
        <v>4.5</v>
      </c>
      <c r="E39" s="20">
        <f>4.5/2</f>
        <v>2.25</v>
      </c>
      <c r="F39" s="20">
        <v>0</v>
      </c>
      <c r="G39" s="41">
        <f t="shared" si="0"/>
        <v>0</v>
      </c>
      <c r="H39" s="66">
        <f t="shared" si="1"/>
        <v>0</v>
      </c>
      <c r="I39" s="72">
        <f>F39/6*12</f>
        <v>0</v>
      </c>
      <c r="J39" s="55"/>
    </row>
    <row r="40" spans="1:9" ht="15">
      <c r="A40" s="3">
        <v>35</v>
      </c>
      <c r="B40" s="3" t="s">
        <v>30</v>
      </c>
      <c r="C40" s="16">
        <v>1703</v>
      </c>
      <c r="D40" s="6">
        <v>38.5</v>
      </c>
      <c r="E40" s="40">
        <f>38.5/2</f>
        <v>19.25</v>
      </c>
      <c r="F40" s="40">
        <v>0</v>
      </c>
      <c r="G40" s="41">
        <f t="shared" si="0"/>
        <v>0</v>
      </c>
      <c r="H40" s="66">
        <f t="shared" si="1"/>
        <v>0</v>
      </c>
      <c r="I40" s="72">
        <f t="shared" si="2"/>
        <v>0</v>
      </c>
    </row>
    <row r="41" spans="1:10" s="13" customFormat="1" ht="14.25">
      <c r="A41" s="11"/>
      <c r="B41" s="12" t="s">
        <v>55</v>
      </c>
      <c r="C41" s="35"/>
      <c r="D41" s="20">
        <v>24</v>
      </c>
      <c r="E41" s="20">
        <f>24/2</f>
        <v>12</v>
      </c>
      <c r="F41" s="20"/>
      <c r="G41" s="41">
        <f t="shared" si="0"/>
        <v>0</v>
      </c>
      <c r="H41" s="66">
        <f t="shared" si="1"/>
        <v>0</v>
      </c>
      <c r="I41" s="72">
        <f>F41/6*12</f>
        <v>0</v>
      </c>
      <c r="J41" s="55"/>
    </row>
    <row r="42" spans="1:9" ht="15">
      <c r="A42" s="3">
        <v>36</v>
      </c>
      <c r="B42" s="3" t="s">
        <v>31</v>
      </c>
      <c r="C42" s="16">
        <v>1704</v>
      </c>
      <c r="D42" s="6">
        <v>84.8</v>
      </c>
      <c r="E42" s="40">
        <f>84.8/2</f>
        <v>42.4</v>
      </c>
      <c r="F42" s="40">
        <v>17.08</v>
      </c>
      <c r="G42" s="41">
        <f t="shared" si="0"/>
        <v>0.20141509433962262</v>
      </c>
      <c r="H42" s="66">
        <f t="shared" si="1"/>
        <v>0.40283018867924525</v>
      </c>
      <c r="I42" s="72">
        <f t="shared" si="2"/>
        <v>25.619999999999997</v>
      </c>
    </row>
    <row r="43" spans="1:10" s="13" customFormat="1" ht="14.25">
      <c r="A43" s="11"/>
      <c r="B43" s="12" t="s">
        <v>55</v>
      </c>
      <c r="C43" s="35"/>
      <c r="D43" s="19">
        <v>2.7</v>
      </c>
      <c r="E43" s="20">
        <f>2.7/2</f>
        <v>1.35</v>
      </c>
      <c r="F43" s="20">
        <v>0</v>
      </c>
      <c r="G43" s="41">
        <f t="shared" si="0"/>
        <v>0</v>
      </c>
      <c r="H43" s="66">
        <f t="shared" si="1"/>
        <v>0</v>
      </c>
      <c r="I43" s="72">
        <f>F43/6*12</f>
        <v>0</v>
      </c>
      <c r="J43" s="55"/>
    </row>
    <row r="44" spans="1:9" ht="15">
      <c r="A44" s="3">
        <v>37</v>
      </c>
      <c r="B44" s="3" t="s">
        <v>32</v>
      </c>
      <c r="C44" s="16">
        <v>1705</v>
      </c>
      <c r="D44" s="6">
        <v>0</v>
      </c>
      <c r="E44" s="40">
        <v>0</v>
      </c>
      <c r="F44" s="40">
        <v>0</v>
      </c>
      <c r="G44" s="41"/>
      <c r="H44" s="66"/>
      <c r="I44" s="72">
        <f t="shared" si="2"/>
        <v>0</v>
      </c>
    </row>
    <row r="45" spans="1:9" ht="15">
      <c r="A45" s="3">
        <v>38</v>
      </c>
      <c r="B45" s="3" t="s">
        <v>0</v>
      </c>
      <c r="C45" s="16">
        <v>1706</v>
      </c>
      <c r="D45" s="6">
        <v>101.6</v>
      </c>
      <c r="E45" s="40">
        <f>101.6/2</f>
        <v>50.8</v>
      </c>
      <c r="F45" s="40">
        <v>49.63</v>
      </c>
      <c r="G45" s="41">
        <f t="shared" si="0"/>
        <v>0.488484251968504</v>
      </c>
      <c r="H45" s="66">
        <f t="shared" si="1"/>
        <v>0.976968503937008</v>
      </c>
      <c r="I45" s="72">
        <f>F45/6*3+F45</f>
        <v>74.445</v>
      </c>
    </row>
    <row r="46" spans="1:10" s="13" customFormat="1" ht="12.75" customHeight="1">
      <c r="A46" s="11"/>
      <c r="B46" s="12" t="s">
        <v>55</v>
      </c>
      <c r="C46" s="35"/>
      <c r="D46" s="19">
        <v>65</v>
      </c>
      <c r="E46" s="20">
        <f>65/2</f>
        <v>32.5</v>
      </c>
      <c r="F46" s="20">
        <v>26.24</v>
      </c>
      <c r="G46" s="41">
        <f t="shared" si="0"/>
        <v>0.4036923076923077</v>
      </c>
      <c r="H46" s="66">
        <f t="shared" si="1"/>
        <v>0.8073846153846154</v>
      </c>
      <c r="I46" s="72">
        <f>F46/6*12</f>
        <v>52.48</v>
      </c>
      <c r="J46" s="55"/>
    </row>
    <row r="47" spans="1:9" ht="15">
      <c r="A47" s="3">
        <v>39</v>
      </c>
      <c r="B47" s="3" t="s">
        <v>1</v>
      </c>
      <c r="C47" s="16">
        <v>1707</v>
      </c>
      <c r="D47" s="6">
        <v>0</v>
      </c>
      <c r="E47" s="40">
        <v>0</v>
      </c>
      <c r="F47" s="40">
        <v>16.95</v>
      </c>
      <c r="G47" s="41"/>
      <c r="H47" s="66"/>
      <c r="I47" s="72">
        <f t="shared" si="2"/>
        <v>25.424999999999997</v>
      </c>
    </row>
    <row r="48" spans="1:9" ht="15">
      <c r="A48" s="3">
        <v>40</v>
      </c>
      <c r="B48" s="3" t="s">
        <v>33</v>
      </c>
      <c r="C48" s="16">
        <v>1708</v>
      </c>
      <c r="D48" s="6">
        <v>4</v>
      </c>
      <c r="E48" s="40">
        <f>4/2</f>
        <v>2</v>
      </c>
      <c r="F48" s="40">
        <v>0</v>
      </c>
      <c r="G48" s="41">
        <f t="shared" si="0"/>
        <v>0</v>
      </c>
      <c r="H48" s="66">
        <f t="shared" si="1"/>
        <v>0</v>
      </c>
      <c r="I48" s="72">
        <f t="shared" si="2"/>
        <v>0</v>
      </c>
    </row>
    <row r="49" spans="1:9" ht="15">
      <c r="A49" s="3">
        <v>41</v>
      </c>
      <c r="B49" s="3" t="s">
        <v>58</v>
      </c>
      <c r="C49" s="16">
        <v>1709</v>
      </c>
      <c r="D49" s="40">
        <v>15.5</v>
      </c>
      <c r="E49" s="40">
        <f>15.5/2</f>
        <v>7.75</v>
      </c>
      <c r="F49" s="40">
        <v>15</v>
      </c>
      <c r="G49" s="41">
        <f t="shared" si="0"/>
        <v>0.967741935483871</v>
      </c>
      <c r="H49" s="66">
        <f t="shared" si="1"/>
        <v>1.935483870967742</v>
      </c>
      <c r="I49" s="72">
        <f t="shared" si="2"/>
        <v>22.5</v>
      </c>
    </row>
    <row r="50" spans="1:9" ht="15">
      <c r="A50" s="3">
        <v>42</v>
      </c>
      <c r="B50" s="3" t="s">
        <v>34</v>
      </c>
      <c r="C50" s="16">
        <v>1710</v>
      </c>
      <c r="D50" s="40">
        <v>0</v>
      </c>
      <c r="E50" s="40">
        <v>0</v>
      </c>
      <c r="F50" s="40">
        <v>0</v>
      </c>
      <c r="G50" s="41"/>
      <c r="H50" s="66"/>
      <c r="I50" s="72">
        <f t="shared" si="2"/>
        <v>0</v>
      </c>
    </row>
    <row r="51" spans="1:9" ht="15">
      <c r="A51" s="3">
        <v>43</v>
      </c>
      <c r="B51" s="3" t="s">
        <v>35</v>
      </c>
      <c r="C51" s="16">
        <v>1712</v>
      </c>
      <c r="D51" s="6">
        <v>44.6</v>
      </c>
      <c r="E51" s="40">
        <f>44.6/2</f>
        <v>22.3</v>
      </c>
      <c r="F51" s="40">
        <v>29.03</v>
      </c>
      <c r="G51" s="41">
        <f t="shared" si="0"/>
        <v>0.6508968609865471</v>
      </c>
      <c r="H51" s="66">
        <f t="shared" si="1"/>
        <v>1.3017937219730942</v>
      </c>
      <c r="I51" s="72">
        <f t="shared" si="2"/>
        <v>43.545</v>
      </c>
    </row>
    <row r="52" spans="1:9" ht="15">
      <c r="A52" s="3">
        <v>44</v>
      </c>
      <c r="B52" s="3" t="s">
        <v>36</v>
      </c>
      <c r="C52" s="16">
        <v>1715</v>
      </c>
      <c r="D52" s="40">
        <v>63.7</v>
      </c>
      <c r="E52" s="40">
        <f>63.7/2</f>
        <v>31.85</v>
      </c>
      <c r="F52" s="40">
        <v>28</v>
      </c>
      <c r="G52" s="41">
        <f t="shared" si="0"/>
        <v>0.43956043956043955</v>
      </c>
      <c r="H52" s="66">
        <f t="shared" si="1"/>
        <v>0.8791208791208791</v>
      </c>
      <c r="I52" s="72">
        <f t="shared" si="2"/>
        <v>42</v>
      </c>
    </row>
    <row r="53" spans="1:9" ht="15">
      <c r="A53" s="3">
        <v>45</v>
      </c>
      <c r="B53" s="3" t="s">
        <v>37</v>
      </c>
      <c r="C53" s="16">
        <v>1716</v>
      </c>
      <c r="D53" s="40">
        <v>88.9</v>
      </c>
      <c r="E53" s="40">
        <f>88.9/2</f>
        <v>44.45</v>
      </c>
      <c r="F53" s="40">
        <v>62.09</v>
      </c>
      <c r="G53" s="41">
        <f t="shared" si="0"/>
        <v>0.6984251968503937</v>
      </c>
      <c r="H53" s="66">
        <f t="shared" si="1"/>
        <v>1.3968503937007875</v>
      </c>
      <c r="I53" s="72">
        <f t="shared" si="2"/>
        <v>93.135</v>
      </c>
    </row>
    <row r="54" spans="1:9" ht="15">
      <c r="A54" s="3">
        <v>46</v>
      </c>
      <c r="B54" s="3" t="s">
        <v>38</v>
      </c>
      <c r="C54" s="16">
        <v>1717</v>
      </c>
      <c r="D54" s="6">
        <v>75</v>
      </c>
      <c r="E54" s="40">
        <f>75/2</f>
        <v>37.5</v>
      </c>
      <c r="F54" s="40">
        <v>36.69</v>
      </c>
      <c r="G54" s="41">
        <f t="shared" si="0"/>
        <v>0.48919999999999997</v>
      </c>
      <c r="H54" s="66">
        <f t="shared" si="1"/>
        <v>0.9783999999999999</v>
      </c>
      <c r="I54" s="72">
        <f t="shared" si="2"/>
        <v>55.035</v>
      </c>
    </row>
    <row r="55" spans="1:10" s="13" customFormat="1" ht="14.25">
      <c r="A55" s="11"/>
      <c r="B55" s="12" t="s">
        <v>55</v>
      </c>
      <c r="C55" s="35"/>
      <c r="D55" s="19">
        <v>5</v>
      </c>
      <c r="E55" s="20">
        <f>5/2</f>
        <v>2.5</v>
      </c>
      <c r="F55" s="20">
        <v>6.9</v>
      </c>
      <c r="G55" s="41">
        <f t="shared" si="0"/>
        <v>1.3800000000000001</v>
      </c>
      <c r="H55" s="66">
        <f t="shared" si="1"/>
        <v>2.7600000000000002</v>
      </c>
      <c r="I55" s="72">
        <f>F55/6*12</f>
        <v>13.8</v>
      </c>
      <c r="J55" s="55"/>
    </row>
    <row r="56" spans="1:9" ht="15">
      <c r="A56" s="3">
        <v>47</v>
      </c>
      <c r="B56" s="3" t="s">
        <v>39</v>
      </c>
      <c r="C56" s="16">
        <v>1718</v>
      </c>
      <c r="D56" s="6">
        <v>265.1</v>
      </c>
      <c r="E56" s="40">
        <f>265.1/2</f>
        <v>132.55</v>
      </c>
      <c r="F56" s="40">
        <v>117.55</v>
      </c>
      <c r="G56" s="41">
        <f t="shared" si="0"/>
        <v>0.44341757827235</v>
      </c>
      <c r="H56" s="66">
        <f t="shared" si="1"/>
        <v>0.8868351565447</v>
      </c>
      <c r="I56" s="72">
        <f t="shared" si="2"/>
        <v>176.325</v>
      </c>
    </row>
    <row r="57" spans="1:10" s="13" customFormat="1" ht="11.25" customHeight="1">
      <c r="A57" s="11"/>
      <c r="B57" s="12" t="s">
        <v>55</v>
      </c>
      <c r="C57" s="35"/>
      <c r="D57" s="19">
        <v>30.2</v>
      </c>
      <c r="E57" s="20">
        <f>30.2/2</f>
        <v>15.1</v>
      </c>
      <c r="F57" s="20">
        <v>13.93</v>
      </c>
      <c r="G57" s="41">
        <f t="shared" si="0"/>
        <v>0.46125827814569537</v>
      </c>
      <c r="H57" s="66">
        <f t="shared" si="1"/>
        <v>0.9225165562913907</v>
      </c>
      <c r="I57" s="72">
        <f>F57/6*12</f>
        <v>27.86</v>
      </c>
      <c r="J57" s="55"/>
    </row>
    <row r="58" spans="1:9" ht="15">
      <c r="A58" s="3">
        <v>48</v>
      </c>
      <c r="B58" s="3" t="s">
        <v>40</v>
      </c>
      <c r="C58" s="16">
        <v>1719</v>
      </c>
      <c r="D58" s="6">
        <v>62</v>
      </c>
      <c r="E58" s="40">
        <f>62/2</f>
        <v>31</v>
      </c>
      <c r="F58" s="40">
        <v>25.62</v>
      </c>
      <c r="G58" s="41">
        <f t="shared" si="0"/>
        <v>0.41322580645161294</v>
      </c>
      <c r="H58" s="66">
        <f t="shared" si="1"/>
        <v>0.8264516129032259</v>
      </c>
      <c r="I58" s="72">
        <f t="shared" si="2"/>
        <v>38.43000000000001</v>
      </c>
    </row>
    <row r="59" spans="1:9" ht="15">
      <c r="A59" s="3">
        <v>49</v>
      </c>
      <c r="B59" s="3" t="s">
        <v>41</v>
      </c>
      <c r="C59" s="16">
        <v>1720</v>
      </c>
      <c r="D59" s="6">
        <v>417.3</v>
      </c>
      <c r="E59" s="40">
        <f>417.3/2</f>
        <v>208.65</v>
      </c>
      <c r="F59" s="40">
        <v>212.1</v>
      </c>
      <c r="G59" s="41">
        <f t="shared" si="0"/>
        <v>0.5082674335010783</v>
      </c>
      <c r="H59" s="66">
        <f t="shared" si="1"/>
        <v>1.0165348670021566</v>
      </c>
      <c r="I59" s="72">
        <f t="shared" si="2"/>
        <v>318.15</v>
      </c>
    </row>
    <row r="60" spans="1:10" s="13" customFormat="1" ht="14.25">
      <c r="A60" s="11"/>
      <c r="B60" s="12" t="s">
        <v>55</v>
      </c>
      <c r="C60" s="35"/>
      <c r="D60" s="19">
        <v>32.6</v>
      </c>
      <c r="E60" s="20">
        <f>32.6/2</f>
        <v>16.3</v>
      </c>
      <c r="F60" s="20">
        <v>10.95</v>
      </c>
      <c r="G60" s="41">
        <f t="shared" si="0"/>
        <v>0.3358895705521472</v>
      </c>
      <c r="H60" s="66">
        <f t="shared" si="1"/>
        <v>0.6717791411042944</v>
      </c>
      <c r="I60" s="72">
        <f>F60/6*12</f>
        <v>21.9</v>
      </c>
      <c r="J60" s="55"/>
    </row>
    <row r="61" spans="1:9" ht="15">
      <c r="A61" s="3">
        <v>50</v>
      </c>
      <c r="B61" s="3" t="s">
        <v>42</v>
      </c>
      <c r="C61" s="16">
        <v>1723</v>
      </c>
      <c r="D61" s="6">
        <v>421.5</v>
      </c>
      <c r="E61" s="40">
        <f>421.5/2</f>
        <v>210.75</v>
      </c>
      <c r="F61" s="40">
        <v>231.22</v>
      </c>
      <c r="G61" s="41">
        <f t="shared" si="0"/>
        <v>0.548564650059312</v>
      </c>
      <c r="H61" s="66">
        <f t="shared" si="1"/>
        <v>1.097129300118624</v>
      </c>
      <c r="I61" s="72">
        <f t="shared" si="2"/>
        <v>346.83000000000004</v>
      </c>
    </row>
    <row r="62" spans="1:10" s="13" customFormat="1" ht="14.25">
      <c r="A62" s="11"/>
      <c r="B62" s="12" t="s">
        <v>55</v>
      </c>
      <c r="C62" s="35"/>
      <c r="D62" s="19">
        <v>36.7</v>
      </c>
      <c r="E62" s="20">
        <f>36.7/2</f>
        <v>18.35</v>
      </c>
      <c r="F62" s="20">
        <v>16.4</v>
      </c>
      <c r="G62" s="41">
        <f t="shared" si="0"/>
        <v>0.4468664850136239</v>
      </c>
      <c r="H62" s="66">
        <f t="shared" si="1"/>
        <v>0.8937329700272478</v>
      </c>
      <c r="I62" s="72">
        <f>F62/6*12</f>
        <v>32.8</v>
      </c>
      <c r="J62" s="55"/>
    </row>
    <row r="63" spans="1:9" ht="15">
      <c r="A63" s="3">
        <v>51</v>
      </c>
      <c r="B63" s="3" t="s">
        <v>43</v>
      </c>
      <c r="C63" s="16">
        <v>1724</v>
      </c>
      <c r="D63" s="40">
        <v>28</v>
      </c>
      <c r="E63" s="40"/>
      <c r="F63" s="40">
        <v>16.49</v>
      </c>
      <c r="G63" s="41">
        <f t="shared" si="0"/>
        <v>0.5889285714285714</v>
      </c>
      <c r="H63" s="66"/>
      <c r="I63" s="72">
        <f t="shared" si="2"/>
        <v>24.735</v>
      </c>
    </row>
    <row r="64" spans="1:10" s="13" customFormat="1" ht="14.25">
      <c r="A64" s="14"/>
      <c r="B64" s="12" t="s">
        <v>55</v>
      </c>
      <c r="C64" s="36"/>
      <c r="D64" s="20">
        <v>12</v>
      </c>
      <c r="E64" s="20">
        <f>12/2</f>
        <v>6</v>
      </c>
      <c r="F64" s="20">
        <v>7.26</v>
      </c>
      <c r="G64" s="41">
        <f t="shared" si="0"/>
        <v>0.605</v>
      </c>
      <c r="H64" s="66">
        <f t="shared" si="1"/>
        <v>1.21</v>
      </c>
      <c r="I64" s="72">
        <f>F64/6*12</f>
        <v>14.52</v>
      </c>
      <c r="J64" s="55"/>
    </row>
    <row r="65" spans="1:9" ht="30.75" customHeight="1">
      <c r="A65" s="5" t="s">
        <v>77</v>
      </c>
      <c r="B65" s="7" t="s">
        <v>44</v>
      </c>
      <c r="C65" s="8">
        <v>1640</v>
      </c>
      <c r="D65" s="6">
        <v>260.4</v>
      </c>
      <c r="E65" s="40"/>
      <c r="F65" s="40"/>
      <c r="G65" s="41">
        <f t="shared" si="0"/>
        <v>0</v>
      </c>
      <c r="H65" s="66"/>
      <c r="I65" s="72">
        <f t="shared" si="2"/>
        <v>0</v>
      </c>
    </row>
    <row r="66" spans="1:9" ht="19.5" customHeight="1">
      <c r="A66" s="5"/>
      <c r="B66" s="12" t="s">
        <v>55</v>
      </c>
      <c r="C66" s="8"/>
      <c r="D66" s="6">
        <v>11</v>
      </c>
      <c r="E66" s="40"/>
      <c r="F66" s="40"/>
      <c r="G66" s="41">
        <f t="shared" si="0"/>
        <v>0</v>
      </c>
      <c r="H66" s="66"/>
      <c r="I66" s="72">
        <f>F66/6*12</f>
        <v>0</v>
      </c>
    </row>
    <row r="67" spans="1:9" ht="33" customHeight="1">
      <c r="A67" s="3" t="s">
        <v>81</v>
      </c>
      <c r="B67" s="15" t="s">
        <v>59</v>
      </c>
      <c r="C67" s="16">
        <v>9703</v>
      </c>
      <c r="D67" s="6">
        <v>37</v>
      </c>
      <c r="E67" s="40">
        <f>37/2</f>
        <v>18.5</v>
      </c>
      <c r="F67" s="40">
        <v>16.17</v>
      </c>
      <c r="G67" s="41">
        <f t="shared" si="0"/>
        <v>0.43702702702702706</v>
      </c>
      <c r="H67" s="66">
        <f t="shared" si="1"/>
        <v>0.8740540540540541</v>
      </c>
      <c r="I67" s="72">
        <v>37</v>
      </c>
    </row>
    <row r="68" spans="1:10" s="13" customFormat="1" ht="12" customHeight="1">
      <c r="A68" s="17"/>
      <c r="B68" s="12" t="s">
        <v>55</v>
      </c>
      <c r="C68" s="18"/>
      <c r="D68" s="19">
        <v>35</v>
      </c>
      <c r="E68" s="20">
        <f>35/2</f>
        <v>17.5</v>
      </c>
      <c r="F68" s="20">
        <v>15.2</v>
      </c>
      <c r="G68" s="41">
        <f t="shared" si="0"/>
        <v>0.4342857142857143</v>
      </c>
      <c r="H68" s="66">
        <f t="shared" si="1"/>
        <v>0.8685714285714285</v>
      </c>
      <c r="I68" s="72">
        <v>35</v>
      </c>
      <c r="J68" s="55"/>
    </row>
    <row r="69" spans="1:10" s="21" customFormat="1" ht="33" customHeight="1">
      <c r="A69" s="28" t="s">
        <v>78</v>
      </c>
      <c r="B69" s="29" t="s">
        <v>60</v>
      </c>
      <c r="C69" s="30" t="s">
        <v>61</v>
      </c>
      <c r="D69" s="25">
        <v>37.5</v>
      </c>
      <c r="E69" s="25">
        <f>37.5/2</f>
        <v>18.75</v>
      </c>
      <c r="F69" s="25">
        <v>10.55</v>
      </c>
      <c r="G69" s="41">
        <f t="shared" si="0"/>
        <v>0.2813333333333334</v>
      </c>
      <c r="H69" s="66">
        <f t="shared" si="1"/>
        <v>0.5626666666666668</v>
      </c>
      <c r="I69" s="72">
        <f t="shared" si="2"/>
        <v>15.825000000000001</v>
      </c>
      <c r="J69" s="56"/>
    </row>
    <row r="70" spans="1:10" s="22" customFormat="1" ht="37.5" customHeight="1">
      <c r="A70" s="31" t="s">
        <v>79</v>
      </c>
      <c r="B70" s="29" t="s">
        <v>62</v>
      </c>
      <c r="C70" s="30" t="s">
        <v>63</v>
      </c>
      <c r="D70" s="25">
        <v>12.8</v>
      </c>
      <c r="E70" s="25">
        <f>12.8/2</f>
        <v>6.4</v>
      </c>
      <c r="F70" s="39">
        <v>3.21</v>
      </c>
      <c r="G70" s="41">
        <f t="shared" si="0"/>
        <v>0.25078124999999996</v>
      </c>
      <c r="H70" s="66">
        <f t="shared" si="1"/>
        <v>0.5015624999999999</v>
      </c>
      <c r="I70" s="72">
        <f t="shared" si="2"/>
        <v>4.8149999999999995</v>
      </c>
      <c r="J70" s="57"/>
    </row>
    <row r="71" spans="1:10" s="22" customFormat="1" ht="31.5" customHeight="1">
      <c r="A71" s="31" t="s">
        <v>80</v>
      </c>
      <c r="B71" s="29" t="s">
        <v>64</v>
      </c>
      <c r="C71" s="32" t="s">
        <v>65</v>
      </c>
      <c r="D71" s="25">
        <v>0</v>
      </c>
      <c r="E71" s="25">
        <f>260.4/2</f>
        <v>130.2</v>
      </c>
      <c r="F71" s="39">
        <v>150</v>
      </c>
      <c r="G71" s="41"/>
      <c r="H71" s="66">
        <f t="shared" si="1"/>
        <v>1.1520737327188941</v>
      </c>
      <c r="I71" s="72">
        <v>304</v>
      </c>
      <c r="J71" s="57"/>
    </row>
    <row r="72" spans="1:10" s="23" customFormat="1" ht="15.75" customHeight="1">
      <c r="A72" s="26"/>
      <c r="B72" s="26" t="s">
        <v>55</v>
      </c>
      <c r="C72" s="33"/>
      <c r="D72" s="27"/>
      <c r="E72" s="27">
        <f>11/2</f>
        <v>5.5</v>
      </c>
      <c r="F72" s="42"/>
      <c r="G72" s="41"/>
      <c r="H72" s="66">
        <f t="shared" si="1"/>
        <v>0</v>
      </c>
      <c r="I72" s="72">
        <v>10</v>
      </c>
      <c r="J72" s="58"/>
    </row>
    <row r="73" spans="1:10" s="63" customFormat="1" ht="3" customHeight="1">
      <c r="A73" s="74"/>
      <c r="B73" s="9" t="s">
        <v>48</v>
      </c>
      <c r="C73" s="75"/>
      <c r="D73" s="6">
        <f>SUM(D4:D72)</f>
        <v>3835.9999999999995</v>
      </c>
      <c r="E73" s="6">
        <f>SUM(E4:E72)</f>
        <v>1903.9999999999998</v>
      </c>
      <c r="F73" s="6">
        <f>SUM(F4:F71)</f>
        <v>1873.2500000000002</v>
      </c>
      <c r="G73" s="64">
        <f>F73/D73</f>
        <v>0.48833420229405644</v>
      </c>
      <c r="H73" s="67">
        <f>F73/E73</f>
        <v>0.9838497899159666</v>
      </c>
      <c r="I73" s="73">
        <f>SUM(I4:I71)</f>
        <v>2955.925</v>
      </c>
      <c r="J73" s="62"/>
    </row>
    <row r="74" spans="2:10" s="63" customFormat="1" ht="16.5" customHeight="1">
      <c r="B74" s="9" t="s">
        <v>85</v>
      </c>
      <c r="C74" s="60"/>
      <c r="D74" s="6">
        <f>D73-D75</f>
        <v>3574.2999999999997</v>
      </c>
      <c r="E74" s="6">
        <f>E73-E75</f>
        <v>1773.1499999999999</v>
      </c>
      <c r="F74" s="6">
        <f>F73-F75</f>
        <v>1773.8400000000001</v>
      </c>
      <c r="G74" s="64">
        <f>F74/D74</f>
        <v>0.4962761939400723</v>
      </c>
      <c r="H74" s="67">
        <f>F74/E74</f>
        <v>1.0003891379747907</v>
      </c>
      <c r="I74" s="73">
        <f>I73-I75</f>
        <v>2742.505</v>
      </c>
      <c r="J74" s="62"/>
    </row>
    <row r="75" spans="2:10" s="63" customFormat="1" ht="14.25">
      <c r="B75" s="11" t="s">
        <v>55</v>
      </c>
      <c r="C75" s="60"/>
      <c r="D75" s="6">
        <f>D68+D64+D62+D60+D57+D46+D43+D41+D39+D23+D72+D66+D55</f>
        <v>261.7</v>
      </c>
      <c r="E75" s="6">
        <f>E68+E64+E62+E60+E57+E46+E43+E41+E39+E23+E72+E66+E55</f>
        <v>130.85</v>
      </c>
      <c r="F75" s="6">
        <f>F68+F64+F62+F60+F57+F46+F43+F41+F39+F23+F72+F66+F55</f>
        <v>99.41000000000001</v>
      </c>
      <c r="G75" s="64">
        <f>F75/D75</f>
        <v>0.3798624379059993</v>
      </c>
      <c r="H75" s="67">
        <f>F75/E75</f>
        <v>0.7597248758119985</v>
      </c>
      <c r="I75" s="73">
        <f>I68+I64+I62+I60+I57+I46+I43+I41+I39+I23+I72+I66+I55</f>
        <v>213.42</v>
      </c>
      <c r="J75" s="62"/>
    </row>
    <row r="76" ht="14.25">
      <c r="I76" s="72">
        <f>F76/6*3</f>
        <v>0</v>
      </c>
    </row>
    <row r="77" spans="1:9" ht="15">
      <c r="A77" s="43">
        <v>1087</v>
      </c>
      <c r="B77" s="46" t="s">
        <v>71</v>
      </c>
      <c r="C77" s="37" t="s">
        <v>72</v>
      </c>
      <c r="D77" s="44">
        <v>195</v>
      </c>
      <c r="E77" s="43">
        <f>195/2</f>
        <v>97.5</v>
      </c>
      <c r="F77" s="43">
        <v>116</v>
      </c>
      <c r="G77" s="45">
        <f>F77/D77*100</f>
        <v>59.48717948717949</v>
      </c>
      <c r="H77" s="68">
        <f>F77/E77*100</f>
        <v>118.97435897435898</v>
      </c>
      <c r="I77" s="72">
        <v>190</v>
      </c>
    </row>
    <row r="78" spans="1:9" ht="14.25">
      <c r="A78" s="43"/>
      <c r="B78" s="48" t="s">
        <v>55</v>
      </c>
      <c r="C78" s="37"/>
      <c r="D78" s="44">
        <v>184</v>
      </c>
      <c r="E78" s="43">
        <f>184/2</f>
        <v>92</v>
      </c>
      <c r="F78" s="43">
        <v>102.37</v>
      </c>
      <c r="G78" s="45">
        <f aca="true" t="shared" si="3" ref="G78:G83">F78/D78*100</f>
        <v>55.63586956521739</v>
      </c>
      <c r="H78" s="68">
        <f aca="true" t="shared" si="4" ref="H78:H83">F78/E78*100</f>
        <v>111.27173913043478</v>
      </c>
      <c r="I78" s="72">
        <v>180</v>
      </c>
    </row>
    <row r="79" spans="1:9" ht="15">
      <c r="A79" s="43">
        <v>1087</v>
      </c>
      <c r="B79" s="46" t="s">
        <v>73</v>
      </c>
      <c r="C79" s="37" t="s">
        <v>74</v>
      </c>
      <c r="D79" s="44"/>
      <c r="E79" s="43">
        <f>2/2</f>
        <v>1</v>
      </c>
      <c r="F79" s="43">
        <v>2.4</v>
      </c>
      <c r="G79" s="45"/>
      <c r="H79" s="68">
        <f t="shared" si="4"/>
        <v>240</v>
      </c>
      <c r="I79" s="72">
        <f>F79/6*3+F79</f>
        <v>3.5999999999999996</v>
      </c>
    </row>
    <row r="80" spans="1:9" ht="15">
      <c r="A80" s="43">
        <v>2011</v>
      </c>
      <c r="B80" s="46" t="s">
        <v>76</v>
      </c>
      <c r="C80" s="37" t="s">
        <v>75</v>
      </c>
      <c r="D80" s="44">
        <v>57</v>
      </c>
      <c r="E80" s="43">
        <f>57/2</f>
        <v>28.5</v>
      </c>
      <c r="F80" s="43">
        <v>0</v>
      </c>
      <c r="G80" s="45">
        <f t="shared" si="3"/>
        <v>0</v>
      </c>
      <c r="H80" s="68">
        <f t="shared" si="4"/>
        <v>0</v>
      </c>
      <c r="I80" s="72">
        <v>59.7</v>
      </c>
    </row>
    <row r="81" spans="1:10" s="84" customFormat="1" ht="15">
      <c r="A81" s="76">
        <v>2013</v>
      </c>
      <c r="B81" s="77" t="s">
        <v>82</v>
      </c>
      <c r="C81" s="78" t="s">
        <v>83</v>
      </c>
      <c r="D81" s="79">
        <v>0</v>
      </c>
      <c r="E81" s="76">
        <f>220/2</f>
        <v>110</v>
      </c>
      <c r="F81" s="76">
        <v>0</v>
      </c>
      <c r="G81" s="80"/>
      <c r="H81" s="81">
        <f t="shared" si="4"/>
        <v>0</v>
      </c>
      <c r="I81" s="82">
        <v>220</v>
      </c>
      <c r="J81" s="83"/>
    </row>
    <row r="82" spans="1:10" s="63" customFormat="1" ht="15">
      <c r="A82" s="59"/>
      <c r="B82" s="47" t="s">
        <v>84</v>
      </c>
      <c r="C82" s="60"/>
      <c r="D82" s="44">
        <f>D77+D79+D80+D81</f>
        <v>252</v>
      </c>
      <c r="E82" s="44">
        <f>E77+E79+E80+E81</f>
        <v>237</v>
      </c>
      <c r="F82" s="44">
        <f>F77+F79+F80+F81</f>
        <v>118.4</v>
      </c>
      <c r="G82" s="61">
        <f t="shared" si="3"/>
        <v>46.98412698412698</v>
      </c>
      <c r="H82" s="69">
        <f t="shared" si="4"/>
        <v>49.957805907173</v>
      </c>
      <c r="I82" s="73">
        <f>I77+I79+I80+I81</f>
        <v>473.3</v>
      </c>
      <c r="J82" s="62"/>
    </row>
    <row r="83" spans="1:10" s="63" customFormat="1" ht="14.25">
      <c r="A83" s="59"/>
      <c r="B83" s="11" t="s">
        <v>55</v>
      </c>
      <c r="C83" s="60"/>
      <c r="D83" s="44">
        <f>D78</f>
        <v>184</v>
      </c>
      <c r="E83" s="44">
        <f>E78</f>
        <v>92</v>
      </c>
      <c r="F83" s="44">
        <f>F78</f>
        <v>102.37</v>
      </c>
      <c r="G83" s="61">
        <f t="shared" si="3"/>
        <v>55.63586956521739</v>
      </c>
      <c r="H83" s="69">
        <f t="shared" si="4"/>
        <v>111.27173913043478</v>
      </c>
      <c r="I83" s="73">
        <f>I78</f>
        <v>180</v>
      </c>
      <c r="J83" s="62"/>
    </row>
    <row r="84" ht="14.25">
      <c r="I84" s="72"/>
    </row>
    <row r="85" spans="2:10" s="63" customFormat="1" ht="16.5">
      <c r="B85" s="344" t="s">
        <v>92</v>
      </c>
      <c r="C85" s="345"/>
      <c r="D85" s="49">
        <f>D74+D82</f>
        <v>3826.2999999999997</v>
      </c>
      <c r="E85" s="49">
        <f>E74+E82</f>
        <v>2010.1499999999999</v>
      </c>
      <c r="F85" s="49">
        <f>F74+F82</f>
        <v>1892.2400000000002</v>
      </c>
      <c r="G85" s="49">
        <f>F85/D85*100</f>
        <v>49.45351906541568</v>
      </c>
      <c r="H85" s="70">
        <f>F85/E85*100</f>
        <v>94.1342685869214</v>
      </c>
      <c r="I85" s="73">
        <f>I74+I82</f>
        <v>3215.8050000000003</v>
      </c>
      <c r="J85" s="62"/>
    </row>
    <row r="86" spans="2:10" s="63" customFormat="1" ht="16.5">
      <c r="B86" s="50" t="s">
        <v>87</v>
      </c>
      <c r="C86" s="51" t="s">
        <v>88</v>
      </c>
      <c r="D86" s="49">
        <f>D85-D87</f>
        <v>3380.6</v>
      </c>
      <c r="E86" s="49">
        <f>E85-E87</f>
        <v>1787.3</v>
      </c>
      <c r="F86" s="49">
        <f>F85-F87</f>
        <v>1690.4600000000003</v>
      </c>
      <c r="G86" s="49">
        <f>F86/D86*100</f>
        <v>50.00473288765309</v>
      </c>
      <c r="H86" s="70">
        <f>F86/E86*100</f>
        <v>94.58177138700835</v>
      </c>
      <c r="I86" s="73">
        <f>I85-I87</f>
        <v>2822.385</v>
      </c>
      <c r="J86" s="62"/>
    </row>
    <row r="87" spans="2:10" s="63" customFormat="1" ht="32.25" customHeight="1">
      <c r="B87" s="50" t="s">
        <v>89</v>
      </c>
      <c r="C87" s="52" t="s">
        <v>90</v>
      </c>
      <c r="D87" s="49">
        <f>D83+D75</f>
        <v>445.7</v>
      </c>
      <c r="E87" s="49">
        <f>E83+E75</f>
        <v>222.85</v>
      </c>
      <c r="F87" s="49">
        <f>F83+F75</f>
        <v>201.78000000000003</v>
      </c>
      <c r="G87" s="49">
        <f>F87/D87*100</f>
        <v>45.27260489118242</v>
      </c>
      <c r="H87" s="70">
        <f>F87/E87*100</f>
        <v>90.54520978236484</v>
      </c>
      <c r="I87" s="73">
        <f>I83+I75</f>
        <v>393.41999999999996</v>
      </c>
      <c r="J87" s="62"/>
    </row>
  </sheetData>
  <sheetProtection/>
  <mergeCells count="7">
    <mergeCell ref="B85:C85"/>
    <mergeCell ref="B2:B3"/>
    <mergeCell ref="C2:C3"/>
    <mergeCell ref="A2:A3"/>
    <mergeCell ref="B1:G1"/>
    <mergeCell ref="D2:F2"/>
    <mergeCell ref="G2:H2"/>
  </mergeCells>
  <printOptions/>
  <pageMargins left="0.7" right="0.7" top="0.2" bottom="0.23" header="0.16" footer="0.3"/>
  <pageSetup horizontalDpi="180" verticalDpi="18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7"/>
  <sheetViews>
    <sheetView tabSelected="1" view="pageBreakPreview" zoomScale="87" zoomScaleSheetLayoutView="87" zoomScalePageLayoutView="0" workbookViewId="0" topLeftCell="A1">
      <selection activeCell="R7" sqref="R7"/>
    </sheetView>
  </sheetViews>
  <sheetFormatPr defaultColWidth="9.140625" defaultRowHeight="15"/>
  <cols>
    <col min="1" max="1" width="66.7109375" style="100" customWidth="1"/>
    <col min="2" max="2" width="11.28125" style="197" customWidth="1"/>
    <col min="3" max="3" width="8.421875" style="98" hidden="1" customWidth="1"/>
    <col min="4" max="4" width="9.8515625" style="101" hidden="1" customWidth="1"/>
    <col min="5" max="5" width="10.421875" style="92" hidden="1" customWidth="1"/>
    <col min="6" max="6" width="11.7109375" style="86" hidden="1" customWidth="1"/>
    <col min="7" max="7" width="10.7109375" style="86" hidden="1" customWidth="1"/>
    <col min="8" max="8" width="12.140625" style="86" hidden="1" customWidth="1"/>
    <col min="9" max="9" width="10.421875" style="86" hidden="1" customWidth="1"/>
    <col min="10" max="10" width="11.57421875" style="86" hidden="1" customWidth="1"/>
    <col min="11" max="11" width="12.8515625" style="86" hidden="1" customWidth="1"/>
    <col min="12" max="12" width="10.421875" style="86" hidden="1" customWidth="1"/>
    <col min="13" max="13" width="10.8515625" style="86" hidden="1" customWidth="1"/>
    <col min="14" max="14" width="11.8515625" style="92" hidden="1" customWidth="1"/>
    <col min="15" max="15" width="14.57421875" style="93" hidden="1" customWidth="1"/>
    <col min="16" max="16" width="13.00390625" style="93" hidden="1" customWidth="1"/>
    <col min="17" max="17" width="14.140625" style="91" customWidth="1"/>
    <col min="18" max="18" width="20.421875" style="91" customWidth="1"/>
    <col min="19" max="19" width="17.00390625" style="91" customWidth="1"/>
    <col min="20" max="20" width="0" style="91" hidden="1" customWidth="1"/>
    <col min="21" max="21" width="12.00390625" style="91" hidden="1" customWidth="1"/>
    <col min="22" max="22" width="22.28125" style="91" customWidth="1"/>
    <col min="23" max="16384" width="9.140625" style="91" customWidth="1"/>
  </cols>
  <sheetData>
    <row r="1" spans="1:22" s="108" customFormat="1" ht="23.25" customHeight="1">
      <c r="A1" s="358"/>
      <c r="B1" s="358"/>
      <c r="C1" s="358"/>
      <c r="D1" s="358"/>
      <c r="E1" s="141"/>
      <c r="F1" s="103"/>
      <c r="G1" s="103"/>
      <c r="H1" s="103"/>
      <c r="I1" s="103"/>
      <c r="J1" s="103"/>
      <c r="K1" s="103"/>
      <c r="L1" s="103"/>
      <c r="M1" s="103"/>
      <c r="N1" s="141"/>
      <c r="O1" s="142"/>
      <c r="P1" s="142"/>
      <c r="R1" s="143"/>
      <c r="S1" s="334" t="s">
        <v>253</v>
      </c>
      <c r="T1" s="335"/>
      <c r="U1" s="335"/>
      <c r="V1" s="336"/>
    </row>
    <row r="2" spans="1:22" s="108" customFormat="1" ht="18.75" customHeight="1">
      <c r="A2" s="140"/>
      <c r="B2" s="191"/>
      <c r="C2" s="140"/>
      <c r="D2" s="140"/>
      <c r="E2" s="141"/>
      <c r="F2" s="103"/>
      <c r="G2" s="103"/>
      <c r="H2" s="103"/>
      <c r="I2" s="103"/>
      <c r="J2" s="103"/>
      <c r="K2" s="103"/>
      <c r="L2" s="103"/>
      <c r="M2" s="103"/>
      <c r="N2" s="141"/>
      <c r="O2" s="142"/>
      <c r="P2" s="142"/>
      <c r="R2" s="167"/>
      <c r="S2" s="334" t="s">
        <v>263</v>
      </c>
      <c r="T2" s="335"/>
      <c r="U2" s="335"/>
      <c r="V2" s="335"/>
    </row>
    <row r="3" spans="1:22" s="108" customFormat="1" ht="16.5" customHeight="1">
      <c r="A3" s="140"/>
      <c r="B3" s="191"/>
      <c r="C3" s="140"/>
      <c r="D3" s="140"/>
      <c r="E3" s="141"/>
      <c r="F3" s="103"/>
      <c r="G3" s="103"/>
      <c r="H3" s="103"/>
      <c r="I3" s="103"/>
      <c r="J3" s="103"/>
      <c r="K3" s="103"/>
      <c r="L3" s="103"/>
      <c r="M3" s="103"/>
      <c r="N3" s="141"/>
      <c r="O3" s="142"/>
      <c r="P3" s="142"/>
      <c r="R3" s="167"/>
      <c r="S3" s="334" t="s">
        <v>264</v>
      </c>
      <c r="T3" s="335"/>
      <c r="U3" s="335"/>
      <c r="V3" s="335"/>
    </row>
    <row r="4" spans="1:18" s="108" customFormat="1" ht="19.5" customHeight="1">
      <c r="A4" s="357" t="s">
        <v>251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6" s="143" customFormat="1" ht="9" customHeight="1" thickBot="1">
      <c r="A5" s="145"/>
      <c r="B5" s="192"/>
      <c r="C5" s="145"/>
      <c r="D5" s="145"/>
      <c r="E5" s="146"/>
      <c r="F5" s="144"/>
      <c r="G5" s="144"/>
      <c r="H5" s="144"/>
      <c r="I5" s="144"/>
      <c r="J5" s="144"/>
      <c r="K5" s="144"/>
      <c r="L5" s="144"/>
      <c r="M5" s="144"/>
      <c r="N5" s="146"/>
      <c r="O5" s="147"/>
      <c r="P5" s="147"/>
    </row>
    <row r="6" spans="1:22" s="148" customFormat="1" ht="16.5" customHeight="1">
      <c r="A6" s="375" t="s">
        <v>185</v>
      </c>
      <c r="B6" s="369" t="s">
        <v>190</v>
      </c>
      <c r="C6" s="372" t="s">
        <v>186</v>
      </c>
      <c r="D6" s="372" t="s">
        <v>51</v>
      </c>
      <c r="E6" s="360" t="s">
        <v>137</v>
      </c>
      <c r="F6" s="361"/>
      <c r="G6" s="362"/>
      <c r="H6" s="363" t="s">
        <v>142</v>
      </c>
      <c r="I6" s="364"/>
      <c r="J6" s="365"/>
      <c r="K6" s="363" t="s">
        <v>143</v>
      </c>
      <c r="L6" s="364"/>
      <c r="M6" s="365"/>
      <c r="N6" s="366" t="s">
        <v>164</v>
      </c>
      <c r="O6" s="367"/>
      <c r="P6" s="368"/>
      <c r="Q6" s="380" t="s">
        <v>184</v>
      </c>
      <c r="R6" s="359" t="s">
        <v>182</v>
      </c>
      <c r="S6" s="359"/>
      <c r="T6" s="359" t="s">
        <v>160</v>
      </c>
      <c r="U6" s="359"/>
      <c r="V6" s="378" t="s">
        <v>183</v>
      </c>
    </row>
    <row r="7" spans="1:22" s="148" customFormat="1" ht="65.25" customHeight="1">
      <c r="A7" s="376"/>
      <c r="B7" s="370"/>
      <c r="C7" s="373"/>
      <c r="D7" s="373"/>
      <c r="E7" s="149"/>
      <c r="F7" s="85" t="s">
        <v>135</v>
      </c>
      <c r="G7" s="85" t="s">
        <v>136</v>
      </c>
      <c r="H7" s="149"/>
      <c r="I7" s="85" t="s">
        <v>135</v>
      </c>
      <c r="J7" s="85" t="s">
        <v>136</v>
      </c>
      <c r="K7" s="149"/>
      <c r="L7" s="85" t="s">
        <v>135</v>
      </c>
      <c r="M7" s="85" t="s">
        <v>136</v>
      </c>
      <c r="N7" s="149" t="s">
        <v>165</v>
      </c>
      <c r="O7" s="151" t="s">
        <v>135</v>
      </c>
      <c r="P7" s="182" t="s">
        <v>136</v>
      </c>
      <c r="Q7" s="381"/>
      <c r="R7" s="151" t="s">
        <v>135</v>
      </c>
      <c r="S7" s="151" t="s">
        <v>266</v>
      </c>
      <c r="T7" s="149" t="s">
        <v>166</v>
      </c>
      <c r="U7" s="151" t="s">
        <v>135</v>
      </c>
      <c r="V7" s="379"/>
    </row>
    <row r="8" spans="1:22" s="148" customFormat="1" ht="27" customHeight="1" thickBot="1">
      <c r="A8" s="377"/>
      <c r="B8" s="371"/>
      <c r="C8" s="374"/>
      <c r="D8" s="374"/>
      <c r="E8" s="175" t="s">
        <v>84</v>
      </c>
      <c r="F8" s="176">
        <v>142310</v>
      </c>
      <c r="G8" s="176">
        <v>142320</v>
      </c>
      <c r="H8" s="175" t="s">
        <v>84</v>
      </c>
      <c r="I8" s="176">
        <v>142310</v>
      </c>
      <c r="J8" s="176">
        <v>142320</v>
      </c>
      <c r="K8" s="175" t="s">
        <v>84</v>
      </c>
      <c r="L8" s="176">
        <v>142310</v>
      </c>
      <c r="M8" s="176">
        <v>142320</v>
      </c>
      <c r="N8" s="175" t="s">
        <v>84</v>
      </c>
      <c r="O8" s="177">
        <v>142310</v>
      </c>
      <c r="P8" s="183">
        <v>142320</v>
      </c>
      <c r="Q8" s="382"/>
      <c r="R8" s="177">
        <v>142310</v>
      </c>
      <c r="S8" s="177">
        <v>142320</v>
      </c>
      <c r="T8" s="177" t="s">
        <v>84</v>
      </c>
      <c r="U8" s="177">
        <v>142310</v>
      </c>
      <c r="V8" s="178">
        <v>142245</v>
      </c>
    </row>
    <row r="9" spans="1:22" s="155" customFormat="1" ht="20.25" customHeight="1" thickBot="1">
      <c r="A9" s="186" t="s">
        <v>212</v>
      </c>
      <c r="B9" s="240" t="s">
        <v>133</v>
      </c>
      <c r="C9" s="171"/>
      <c r="D9" s="171"/>
      <c r="E9" s="171">
        <v>5</v>
      </c>
      <c r="F9" s="171">
        <v>6</v>
      </c>
      <c r="G9" s="171" t="s">
        <v>138</v>
      </c>
      <c r="H9" s="172" t="s">
        <v>139</v>
      </c>
      <c r="I9" s="172" t="s">
        <v>140</v>
      </c>
      <c r="J9" s="172" t="s">
        <v>141</v>
      </c>
      <c r="K9" s="172" t="s">
        <v>144</v>
      </c>
      <c r="L9" s="172" t="s">
        <v>145</v>
      </c>
      <c r="M9" s="172" t="s">
        <v>146</v>
      </c>
      <c r="N9" s="173" t="s">
        <v>147</v>
      </c>
      <c r="O9" s="174" t="s">
        <v>148</v>
      </c>
      <c r="P9" s="184" t="s">
        <v>149</v>
      </c>
      <c r="Q9" s="179" t="s">
        <v>134</v>
      </c>
      <c r="R9" s="172" t="s">
        <v>213</v>
      </c>
      <c r="S9" s="172" t="s">
        <v>214</v>
      </c>
      <c r="T9" s="172" t="s">
        <v>161</v>
      </c>
      <c r="U9" s="172" t="s">
        <v>162</v>
      </c>
      <c r="V9" s="180" t="s">
        <v>138</v>
      </c>
    </row>
    <row r="10" spans="1:22" s="159" customFormat="1" ht="47.25" customHeight="1" hidden="1">
      <c r="A10" s="187" t="s">
        <v>150</v>
      </c>
      <c r="B10" s="241"/>
      <c r="C10" s="157"/>
      <c r="D10" s="157"/>
      <c r="E10" s="157">
        <f aca="true" t="shared" si="0" ref="E10:M10">SUM(E32:E75)</f>
        <v>2964.6000000000004</v>
      </c>
      <c r="F10" s="157">
        <f t="shared" si="0"/>
        <v>2837.9</v>
      </c>
      <c r="G10" s="157">
        <f t="shared" si="0"/>
        <v>126.7</v>
      </c>
      <c r="H10" s="157">
        <f t="shared" si="0"/>
        <v>3429.0000000000005</v>
      </c>
      <c r="I10" s="157">
        <f t="shared" si="0"/>
        <v>3291.3</v>
      </c>
      <c r="J10" s="157">
        <f t="shared" si="0"/>
        <v>137.7</v>
      </c>
      <c r="K10" s="157">
        <f t="shared" si="0"/>
        <v>1637.32</v>
      </c>
      <c r="L10" s="157">
        <f t="shared" si="0"/>
        <v>1579.35</v>
      </c>
      <c r="M10" s="157">
        <f t="shared" si="0"/>
        <v>57.97</v>
      </c>
      <c r="N10" s="168">
        <f aca="true" t="shared" si="1" ref="N10:V10">SUM(N18:N75)</f>
        <v>3712.2999999999997</v>
      </c>
      <c r="O10" s="157">
        <f t="shared" si="1"/>
        <v>3519.999999999999</v>
      </c>
      <c r="P10" s="158">
        <f t="shared" si="1"/>
        <v>192.29999999999998</v>
      </c>
      <c r="Q10" s="242">
        <f t="shared" si="1"/>
        <v>10201.5</v>
      </c>
      <c r="R10" s="157">
        <f t="shared" si="1"/>
        <v>9137.699999999999</v>
      </c>
      <c r="S10" s="157">
        <f t="shared" si="1"/>
        <v>723.8</v>
      </c>
      <c r="T10" s="157">
        <f t="shared" si="1"/>
        <v>3598.2</v>
      </c>
      <c r="U10" s="157">
        <f t="shared" si="1"/>
        <v>3598.2</v>
      </c>
      <c r="V10" s="243">
        <f t="shared" si="1"/>
        <v>680</v>
      </c>
    </row>
    <row r="11" spans="1:22" s="273" customFormat="1" ht="25.5" customHeight="1" thickBot="1">
      <c r="A11" s="272" t="s">
        <v>189</v>
      </c>
      <c r="B11" s="305" t="s">
        <v>191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277"/>
      <c r="O11" s="306"/>
      <c r="P11" s="307"/>
      <c r="Q11" s="308">
        <f>Q12</f>
        <v>190</v>
      </c>
      <c r="R11" s="277">
        <f>R12</f>
        <v>10</v>
      </c>
      <c r="S11" s="277">
        <f>S12</f>
        <v>180</v>
      </c>
      <c r="T11" s="306"/>
      <c r="U11" s="306"/>
      <c r="V11" s="309"/>
    </row>
    <row r="12" spans="1:22" s="147" customFormat="1" ht="24.75" customHeight="1" thickBot="1">
      <c r="A12" s="244" t="s">
        <v>71</v>
      </c>
      <c r="B12" s="245" t="s">
        <v>192</v>
      </c>
      <c r="C12" s="246">
        <v>1087</v>
      </c>
      <c r="D12" s="310" t="s">
        <v>72</v>
      </c>
      <c r="E12" s="247">
        <f>SUM(F12:G12)</f>
        <v>195</v>
      </c>
      <c r="F12" s="248">
        <v>11</v>
      </c>
      <c r="G12" s="248">
        <v>184</v>
      </c>
      <c r="H12" s="248">
        <f>SUM(I12:J12)</f>
        <v>195</v>
      </c>
      <c r="I12" s="248">
        <v>11</v>
      </c>
      <c r="J12" s="248">
        <v>184</v>
      </c>
      <c r="K12" s="248">
        <f>SUM(L12:M12)</f>
        <v>116</v>
      </c>
      <c r="L12" s="248">
        <v>13.63</v>
      </c>
      <c r="M12" s="248">
        <v>102.37</v>
      </c>
      <c r="N12" s="249">
        <f>SUM(O12:P12)</f>
        <v>190</v>
      </c>
      <c r="O12" s="250">
        <v>10</v>
      </c>
      <c r="P12" s="251">
        <v>180</v>
      </c>
      <c r="Q12" s="252">
        <f>R12+S12</f>
        <v>190</v>
      </c>
      <c r="R12" s="250">
        <v>10</v>
      </c>
      <c r="S12" s="250">
        <v>180</v>
      </c>
      <c r="T12" s="253">
        <f>SUM(U12:U12)</f>
        <v>10</v>
      </c>
      <c r="U12" s="250">
        <v>10</v>
      </c>
      <c r="V12" s="311"/>
    </row>
    <row r="13" spans="1:22" s="273" customFormat="1" ht="23.25" customHeight="1" thickBot="1">
      <c r="A13" s="272" t="s">
        <v>254</v>
      </c>
      <c r="B13" s="305" t="s">
        <v>193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77"/>
      <c r="O13" s="306"/>
      <c r="P13" s="307"/>
      <c r="Q13" s="308">
        <f>Q14</f>
        <v>37</v>
      </c>
      <c r="R13" s="277">
        <f>R14</f>
        <v>2</v>
      </c>
      <c r="S13" s="277">
        <f>S14</f>
        <v>35</v>
      </c>
      <c r="T13" s="306"/>
      <c r="U13" s="306"/>
      <c r="V13" s="309"/>
    </row>
    <row r="14" spans="1:22" s="147" customFormat="1" ht="23.25" customHeight="1" thickBot="1">
      <c r="A14" s="254" t="s">
        <v>59</v>
      </c>
      <c r="B14" s="245" t="s">
        <v>194</v>
      </c>
      <c r="C14" s="246">
        <v>1087</v>
      </c>
      <c r="D14" s="312" t="s">
        <v>153</v>
      </c>
      <c r="E14" s="247">
        <f>SUM(F14:G14)</f>
        <v>37</v>
      </c>
      <c r="F14" s="248">
        <v>2</v>
      </c>
      <c r="G14" s="248">
        <v>35</v>
      </c>
      <c r="H14" s="248">
        <f>SUM(I14:J14)</f>
        <v>37</v>
      </c>
      <c r="I14" s="248">
        <v>2</v>
      </c>
      <c r="J14" s="248">
        <v>35</v>
      </c>
      <c r="K14" s="248">
        <f>SUM(L14:M14)</f>
        <v>16.169999999999998</v>
      </c>
      <c r="L14" s="248">
        <v>0.97</v>
      </c>
      <c r="M14" s="248">
        <v>15.2</v>
      </c>
      <c r="N14" s="249">
        <f>SUM(O14:P14)</f>
        <v>37</v>
      </c>
      <c r="O14" s="250">
        <v>2</v>
      </c>
      <c r="P14" s="251">
        <v>35</v>
      </c>
      <c r="Q14" s="252">
        <f>R14+S14</f>
        <v>37</v>
      </c>
      <c r="R14" s="250">
        <v>2</v>
      </c>
      <c r="S14" s="250">
        <v>35</v>
      </c>
      <c r="T14" s="253">
        <f>SUM(U14:U14)</f>
        <v>2</v>
      </c>
      <c r="U14" s="250">
        <v>2</v>
      </c>
      <c r="V14" s="311"/>
    </row>
    <row r="15" spans="1:22" s="273" customFormat="1" ht="23.25" customHeight="1" thickBot="1">
      <c r="A15" s="274" t="s">
        <v>195</v>
      </c>
      <c r="B15" s="313" t="s">
        <v>196</v>
      </c>
      <c r="C15" s="314"/>
      <c r="D15" s="315"/>
      <c r="E15" s="277"/>
      <c r="F15" s="279"/>
      <c r="G15" s="279"/>
      <c r="H15" s="279"/>
      <c r="I15" s="279"/>
      <c r="J15" s="279"/>
      <c r="K15" s="279"/>
      <c r="L15" s="279"/>
      <c r="M15" s="279"/>
      <c r="N15" s="280"/>
      <c r="O15" s="316"/>
      <c r="P15" s="317"/>
      <c r="Q15" s="318">
        <f>Q16+Q28+Q30+Q56+Q66</f>
        <v>2790.7</v>
      </c>
      <c r="R15" s="319">
        <f>R16+R28+R30+R56+R66</f>
        <v>2621.1</v>
      </c>
      <c r="S15" s="319">
        <f>S16+S28+S30+S56+S66</f>
        <v>169.60000000000002</v>
      </c>
      <c r="T15" s="319"/>
      <c r="U15" s="316"/>
      <c r="V15" s="320"/>
    </row>
    <row r="16" spans="1:22" s="159" customFormat="1" ht="23.25" customHeight="1">
      <c r="A16" s="255" t="s">
        <v>197</v>
      </c>
      <c r="B16" s="170" t="s">
        <v>198</v>
      </c>
      <c r="C16" s="256"/>
      <c r="D16" s="171"/>
      <c r="E16" s="169"/>
      <c r="F16" s="257"/>
      <c r="G16" s="257"/>
      <c r="H16" s="257"/>
      <c r="I16" s="257"/>
      <c r="J16" s="257"/>
      <c r="K16" s="257"/>
      <c r="L16" s="257"/>
      <c r="M16" s="257"/>
      <c r="N16" s="173"/>
      <c r="O16" s="258"/>
      <c r="P16" s="259"/>
      <c r="Q16" s="260">
        <f>R16+S16</f>
        <v>302.2</v>
      </c>
      <c r="R16" s="261">
        <f>SUM(R17:R27)</f>
        <v>302.2</v>
      </c>
      <c r="S16" s="261">
        <f>SUM(S17:S27)</f>
        <v>0</v>
      </c>
      <c r="T16" s="261"/>
      <c r="U16" s="258"/>
      <c r="V16" s="262"/>
    </row>
    <row r="17" spans="1:22" s="143" customFormat="1" ht="15">
      <c r="A17" s="188" t="s">
        <v>249</v>
      </c>
      <c r="B17" s="235"/>
      <c r="C17" s="105">
        <v>1087</v>
      </c>
      <c r="D17" s="223" t="s">
        <v>120</v>
      </c>
      <c r="E17" s="221">
        <f aca="true" t="shared" si="2" ref="E17:E27">SUM(F17:G17)</f>
        <v>101.6</v>
      </c>
      <c r="F17" s="204">
        <v>36.6</v>
      </c>
      <c r="G17" s="204">
        <v>65</v>
      </c>
      <c r="H17" s="204">
        <f aca="true" t="shared" si="3" ref="H17:H27">SUM(I17:J17)</f>
        <v>101.6</v>
      </c>
      <c r="I17" s="204">
        <v>36.6</v>
      </c>
      <c r="J17" s="204">
        <v>65</v>
      </c>
      <c r="K17" s="204">
        <f aca="true" t="shared" si="4" ref="K17:K27">SUM(L17:M17)</f>
        <v>49.629999999999995</v>
      </c>
      <c r="L17" s="204">
        <v>23.39</v>
      </c>
      <c r="M17" s="204">
        <v>26.24</v>
      </c>
      <c r="N17" s="205">
        <f aca="true" t="shared" si="5" ref="N17:N27">SUM(O17:P17)</f>
        <v>74.4</v>
      </c>
      <c r="O17" s="165">
        <v>35.4</v>
      </c>
      <c r="P17" s="208">
        <v>39</v>
      </c>
      <c r="Q17" s="229">
        <f>SUM(R17:S17)</f>
        <v>35.4</v>
      </c>
      <c r="R17" s="165">
        <v>35.4</v>
      </c>
      <c r="S17" s="165">
        <v>0</v>
      </c>
      <c r="T17" s="209">
        <f aca="true" t="shared" si="6" ref="T17:T27">SUM(U17:U17)</f>
        <v>35.4</v>
      </c>
      <c r="U17" s="165">
        <v>35.4</v>
      </c>
      <c r="V17" s="210"/>
    </row>
    <row r="18" spans="1:22" s="147" customFormat="1" ht="20.25" customHeight="1">
      <c r="A18" s="238" t="s">
        <v>215</v>
      </c>
      <c r="B18" s="236"/>
      <c r="C18" s="196">
        <v>1087</v>
      </c>
      <c r="D18" s="222" t="s">
        <v>93</v>
      </c>
      <c r="E18" s="221">
        <f t="shared" si="2"/>
        <v>0</v>
      </c>
      <c r="F18" s="160">
        <v>0</v>
      </c>
      <c r="G18" s="160"/>
      <c r="H18" s="204">
        <f t="shared" si="3"/>
        <v>0</v>
      </c>
      <c r="I18" s="160"/>
      <c r="J18" s="160"/>
      <c r="K18" s="204">
        <f t="shared" si="4"/>
        <v>0</v>
      </c>
      <c r="L18" s="160"/>
      <c r="M18" s="160"/>
      <c r="N18" s="205">
        <f t="shared" si="5"/>
        <v>0</v>
      </c>
      <c r="O18" s="160">
        <v>0</v>
      </c>
      <c r="P18" s="218">
        <v>0</v>
      </c>
      <c r="Q18" s="229">
        <f aca="true" t="shared" si="7" ref="Q18:Q27">SUM(R18:S18)</f>
        <v>43.2</v>
      </c>
      <c r="R18" s="160">
        <v>43.2</v>
      </c>
      <c r="S18" s="160">
        <v>0</v>
      </c>
      <c r="T18" s="205">
        <f t="shared" si="6"/>
        <v>43.2</v>
      </c>
      <c r="U18" s="160">
        <v>43.2</v>
      </c>
      <c r="V18" s="219"/>
    </row>
    <row r="19" spans="1:22" s="143" customFormat="1" ht="15">
      <c r="A19" s="188" t="s">
        <v>252</v>
      </c>
      <c r="B19" s="235"/>
      <c r="C19" s="105">
        <v>1087</v>
      </c>
      <c r="D19" s="223" t="s">
        <v>98</v>
      </c>
      <c r="E19" s="221">
        <f t="shared" si="2"/>
        <v>63.3</v>
      </c>
      <c r="F19" s="204">
        <v>63.3</v>
      </c>
      <c r="G19" s="204"/>
      <c r="H19" s="204">
        <f t="shared" si="3"/>
        <v>63.3</v>
      </c>
      <c r="I19" s="204">
        <v>63.3</v>
      </c>
      <c r="J19" s="204"/>
      <c r="K19" s="204">
        <f t="shared" si="4"/>
        <v>38.23</v>
      </c>
      <c r="L19" s="204">
        <v>38.23</v>
      </c>
      <c r="M19" s="204"/>
      <c r="N19" s="205">
        <f t="shared" si="5"/>
        <v>67.6</v>
      </c>
      <c r="O19" s="162">
        <f>44.6+23</f>
        <v>67.6</v>
      </c>
      <c r="P19" s="206">
        <f aca="true" t="shared" si="8" ref="P19:P27">M19/6*12</f>
        <v>0</v>
      </c>
      <c r="Q19" s="229">
        <f t="shared" si="7"/>
        <v>23</v>
      </c>
      <c r="R19" s="162">
        <v>23</v>
      </c>
      <c r="S19" s="162">
        <f aca="true" t="shared" si="9" ref="S19:S27">P19/6*12</f>
        <v>0</v>
      </c>
      <c r="T19" s="205">
        <f t="shared" si="6"/>
        <v>67.6</v>
      </c>
      <c r="U19" s="162">
        <f>44.6+23</f>
        <v>67.6</v>
      </c>
      <c r="V19" s="210"/>
    </row>
    <row r="20" spans="1:22" s="143" customFormat="1" ht="15">
      <c r="A20" s="188" t="s">
        <v>255</v>
      </c>
      <c r="B20" s="235"/>
      <c r="C20" s="105">
        <v>1087</v>
      </c>
      <c r="D20" s="223" t="s">
        <v>99</v>
      </c>
      <c r="E20" s="221">
        <f t="shared" si="2"/>
        <v>125.1</v>
      </c>
      <c r="F20" s="204">
        <v>125.1</v>
      </c>
      <c r="G20" s="204"/>
      <c r="H20" s="204">
        <f t="shared" si="3"/>
        <v>125.1</v>
      </c>
      <c r="I20" s="204">
        <v>125.1</v>
      </c>
      <c r="J20" s="204"/>
      <c r="K20" s="204">
        <f t="shared" si="4"/>
        <v>17.56</v>
      </c>
      <c r="L20" s="204">
        <v>17.56</v>
      </c>
      <c r="M20" s="204"/>
      <c r="N20" s="205">
        <f t="shared" si="5"/>
        <v>26</v>
      </c>
      <c r="O20" s="162">
        <v>26</v>
      </c>
      <c r="P20" s="206">
        <f t="shared" si="8"/>
        <v>0</v>
      </c>
      <c r="Q20" s="229">
        <f t="shared" si="7"/>
        <v>26</v>
      </c>
      <c r="R20" s="162">
        <v>26</v>
      </c>
      <c r="S20" s="162">
        <f t="shared" si="9"/>
        <v>0</v>
      </c>
      <c r="T20" s="205">
        <f t="shared" si="6"/>
        <v>26</v>
      </c>
      <c r="U20" s="162">
        <v>26</v>
      </c>
      <c r="V20" s="210"/>
    </row>
    <row r="21" spans="1:22" s="143" customFormat="1" ht="15">
      <c r="A21" s="188" t="s">
        <v>236</v>
      </c>
      <c r="B21" s="235"/>
      <c r="C21" s="105">
        <v>1087</v>
      </c>
      <c r="D21" s="223" t="s">
        <v>107</v>
      </c>
      <c r="E21" s="221">
        <f t="shared" si="2"/>
        <v>58.2</v>
      </c>
      <c r="F21" s="204">
        <v>58.2</v>
      </c>
      <c r="G21" s="204"/>
      <c r="H21" s="204">
        <f t="shared" si="3"/>
        <v>58.2</v>
      </c>
      <c r="I21" s="204">
        <v>58.2</v>
      </c>
      <c r="J21" s="204"/>
      <c r="K21" s="204">
        <f t="shared" si="4"/>
        <v>22.23</v>
      </c>
      <c r="L21" s="204">
        <v>22.23</v>
      </c>
      <c r="M21" s="204"/>
      <c r="N21" s="205">
        <f t="shared" si="5"/>
        <v>33</v>
      </c>
      <c r="O21" s="162">
        <f>15+18</f>
        <v>33</v>
      </c>
      <c r="P21" s="206">
        <f t="shared" si="8"/>
        <v>0</v>
      </c>
      <c r="Q21" s="229">
        <f t="shared" si="7"/>
        <v>18</v>
      </c>
      <c r="R21" s="162">
        <v>18</v>
      </c>
      <c r="S21" s="162">
        <f t="shared" si="9"/>
        <v>0</v>
      </c>
      <c r="T21" s="205">
        <f t="shared" si="6"/>
        <v>33</v>
      </c>
      <c r="U21" s="162">
        <f>15+18</f>
        <v>33</v>
      </c>
      <c r="V21" s="210"/>
    </row>
    <row r="22" spans="1:22" s="143" customFormat="1" ht="15">
      <c r="A22" s="188" t="s">
        <v>235</v>
      </c>
      <c r="B22" s="235"/>
      <c r="C22" s="105">
        <v>1087</v>
      </c>
      <c r="D22" s="223" t="s">
        <v>109</v>
      </c>
      <c r="E22" s="221">
        <f t="shared" si="2"/>
        <v>18</v>
      </c>
      <c r="F22" s="204">
        <v>18</v>
      </c>
      <c r="G22" s="204"/>
      <c r="H22" s="204">
        <f t="shared" si="3"/>
        <v>18</v>
      </c>
      <c r="I22" s="204">
        <v>18</v>
      </c>
      <c r="J22" s="204"/>
      <c r="K22" s="204">
        <f t="shared" si="4"/>
        <v>11.18</v>
      </c>
      <c r="L22" s="204">
        <v>11.18</v>
      </c>
      <c r="M22" s="204"/>
      <c r="N22" s="205">
        <f t="shared" si="5"/>
        <v>35.3</v>
      </c>
      <c r="O22" s="165">
        <v>35.3</v>
      </c>
      <c r="P22" s="208">
        <f t="shared" si="8"/>
        <v>0</v>
      </c>
      <c r="Q22" s="229">
        <f t="shared" si="7"/>
        <v>25.3</v>
      </c>
      <c r="R22" s="165">
        <v>25.3</v>
      </c>
      <c r="S22" s="165">
        <f t="shared" si="9"/>
        <v>0</v>
      </c>
      <c r="T22" s="209">
        <f t="shared" si="6"/>
        <v>35.3</v>
      </c>
      <c r="U22" s="165">
        <v>35.3</v>
      </c>
      <c r="V22" s="210"/>
    </row>
    <row r="23" spans="1:22" s="143" customFormat="1" ht="15">
      <c r="A23" s="188" t="s">
        <v>233</v>
      </c>
      <c r="B23" s="235"/>
      <c r="C23" s="105">
        <v>1087</v>
      </c>
      <c r="D23" s="223" t="s">
        <v>111</v>
      </c>
      <c r="E23" s="221">
        <f t="shared" si="2"/>
        <v>98.5</v>
      </c>
      <c r="F23" s="204">
        <v>98.5</v>
      </c>
      <c r="G23" s="204"/>
      <c r="H23" s="204">
        <f t="shared" si="3"/>
        <v>98.5</v>
      </c>
      <c r="I23" s="204">
        <v>98.5</v>
      </c>
      <c r="J23" s="204"/>
      <c r="K23" s="204">
        <f t="shared" si="4"/>
        <v>43.25</v>
      </c>
      <c r="L23" s="204">
        <v>43.25</v>
      </c>
      <c r="M23" s="204"/>
      <c r="N23" s="205">
        <f t="shared" si="5"/>
        <v>52.1</v>
      </c>
      <c r="O23" s="165">
        <v>52.1</v>
      </c>
      <c r="P23" s="208">
        <f t="shared" si="8"/>
        <v>0</v>
      </c>
      <c r="Q23" s="229">
        <f t="shared" si="7"/>
        <v>12.1</v>
      </c>
      <c r="R23" s="165">
        <v>12.1</v>
      </c>
      <c r="S23" s="165">
        <f t="shared" si="9"/>
        <v>0</v>
      </c>
      <c r="T23" s="209">
        <f t="shared" si="6"/>
        <v>52.1</v>
      </c>
      <c r="U23" s="165">
        <v>52.1</v>
      </c>
      <c r="V23" s="210"/>
    </row>
    <row r="24" spans="1:22" s="143" customFormat="1" ht="15">
      <c r="A24" s="188" t="s">
        <v>228</v>
      </c>
      <c r="B24" s="235"/>
      <c r="C24" s="105">
        <v>1087</v>
      </c>
      <c r="D24" s="223" t="s">
        <v>115</v>
      </c>
      <c r="E24" s="221">
        <f t="shared" si="2"/>
        <v>388.2</v>
      </c>
      <c r="F24" s="204">
        <v>388.2</v>
      </c>
      <c r="G24" s="204"/>
      <c r="H24" s="204">
        <f t="shared" si="3"/>
        <v>388.2</v>
      </c>
      <c r="I24" s="204">
        <v>388.2</v>
      </c>
      <c r="J24" s="204"/>
      <c r="K24" s="204">
        <f t="shared" si="4"/>
        <v>229.85</v>
      </c>
      <c r="L24" s="204">
        <v>229.85</v>
      </c>
      <c r="M24" s="204"/>
      <c r="N24" s="205">
        <f t="shared" si="5"/>
        <v>323</v>
      </c>
      <c r="O24" s="165">
        <f>302.5+20.5</f>
        <v>323</v>
      </c>
      <c r="P24" s="208">
        <f t="shared" si="8"/>
        <v>0</v>
      </c>
      <c r="Q24" s="229">
        <f t="shared" si="7"/>
        <v>20.5</v>
      </c>
      <c r="R24" s="165">
        <v>20.5</v>
      </c>
      <c r="S24" s="165">
        <f t="shared" si="9"/>
        <v>0</v>
      </c>
      <c r="T24" s="209">
        <f t="shared" si="6"/>
        <v>323</v>
      </c>
      <c r="U24" s="165">
        <f>302.5+20.5</f>
        <v>323</v>
      </c>
      <c r="V24" s="210"/>
    </row>
    <row r="25" spans="1:22" s="143" customFormat="1" ht="15">
      <c r="A25" s="188" t="s">
        <v>220</v>
      </c>
      <c r="B25" s="235"/>
      <c r="C25" s="105">
        <v>1087</v>
      </c>
      <c r="D25" s="223" t="s">
        <v>118</v>
      </c>
      <c r="E25" s="221">
        <f t="shared" si="2"/>
        <v>38.5</v>
      </c>
      <c r="F25" s="204">
        <v>14.5</v>
      </c>
      <c r="G25" s="204">
        <v>24</v>
      </c>
      <c r="H25" s="204">
        <f t="shared" si="3"/>
        <v>38.5</v>
      </c>
      <c r="I25" s="204">
        <v>14.5</v>
      </c>
      <c r="J25" s="204">
        <v>24</v>
      </c>
      <c r="K25" s="204">
        <f t="shared" si="4"/>
        <v>0</v>
      </c>
      <c r="L25" s="204">
        <v>0</v>
      </c>
      <c r="M25" s="204"/>
      <c r="N25" s="205">
        <f t="shared" si="5"/>
        <v>10</v>
      </c>
      <c r="O25" s="165">
        <v>10</v>
      </c>
      <c r="P25" s="208">
        <f t="shared" si="8"/>
        <v>0</v>
      </c>
      <c r="Q25" s="229">
        <f t="shared" si="7"/>
        <v>60</v>
      </c>
      <c r="R25" s="165">
        <v>60</v>
      </c>
      <c r="S25" s="165">
        <f t="shared" si="9"/>
        <v>0</v>
      </c>
      <c r="T25" s="209">
        <f t="shared" si="6"/>
        <v>10</v>
      </c>
      <c r="U25" s="165">
        <v>10</v>
      </c>
      <c r="V25" s="210"/>
    </row>
    <row r="26" spans="1:22" s="214" customFormat="1" ht="21" customHeight="1">
      <c r="A26" s="203" t="s">
        <v>248</v>
      </c>
      <c r="B26" s="237"/>
      <c r="C26" s="225">
        <v>2011</v>
      </c>
      <c r="D26" s="226" t="s">
        <v>61</v>
      </c>
      <c r="E26" s="221">
        <f t="shared" si="2"/>
        <v>37.5</v>
      </c>
      <c r="F26" s="207">
        <v>37.5</v>
      </c>
      <c r="G26" s="207"/>
      <c r="H26" s="204">
        <f t="shared" si="3"/>
        <v>37.5</v>
      </c>
      <c r="I26" s="207">
        <v>37.5</v>
      </c>
      <c r="J26" s="207"/>
      <c r="K26" s="204">
        <f t="shared" si="4"/>
        <v>10.55</v>
      </c>
      <c r="L26" s="207">
        <v>10.55</v>
      </c>
      <c r="M26" s="207"/>
      <c r="N26" s="205">
        <f t="shared" si="5"/>
        <v>28.8</v>
      </c>
      <c r="O26" s="162">
        <v>28.8</v>
      </c>
      <c r="P26" s="206">
        <f t="shared" si="8"/>
        <v>0</v>
      </c>
      <c r="Q26" s="229">
        <f t="shared" si="7"/>
        <v>28.8</v>
      </c>
      <c r="R26" s="162">
        <v>28.8</v>
      </c>
      <c r="S26" s="162">
        <f t="shared" si="9"/>
        <v>0</v>
      </c>
      <c r="T26" s="205">
        <f t="shared" si="6"/>
        <v>28.8</v>
      </c>
      <c r="U26" s="162">
        <v>28.8</v>
      </c>
      <c r="V26" s="212"/>
    </row>
    <row r="27" spans="1:22" s="214" customFormat="1" ht="33" customHeight="1">
      <c r="A27" s="203" t="s">
        <v>247</v>
      </c>
      <c r="B27" s="237"/>
      <c r="C27" s="225">
        <v>2011</v>
      </c>
      <c r="D27" s="226" t="s">
        <v>63</v>
      </c>
      <c r="E27" s="221">
        <f t="shared" si="2"/>
        <v>12.8</v>
      </c>
      <c r="F27" s="207">
        <v>12.8</v>
      </c>
      <c r="G27" s="207"/>
      <c r="H27" s="204">
        <f t="shared" si="3"/>
        <v>12.8</v>
      </c>
      <c r="I27" s="207">
        <v>12.8</v>
      </c>
      <c r="J27" s="207"/>
      <c r="K27" s="204">
        <f t="shared" si="4"/>
        <v>3.21</v>
      </c>
      <c r="L27" s="207">
        <v>3.21</v>
      </c>
      <c r="M27" s="207"/>
      <c r="N27" s="205">
        <f t="shared" si="5"/>
        <v>9.9</v>
      </c>
      <c r="O27" s="162">
        <v>9.9</v>
      </c>
      <c r="P27" s="206">
        <f t="shared" si="8"/>
        <v>0</v>
      </c>
      <c r="Q27" s="229">
        <f t="shared" si="7"/>
        <v>9.9</v>
      </c>
      <c r="R27" s="162">
        <v>9.9</v>
      </c>
      <c r="S27" s="162">
        <f t="shared" si="9"/>
        <v>0</v>
      </c>
      <c r="T27" s="205">
        <f t="shared" si="6"/>
        <v>9.9</v>
      </c>
      <c r="U27" s="162">
        <v>9.9</v>
      </c>
      <c r="V27" s="212"/>
    </row>
    <row r="28" spans="1:22" s="159" customFormat="1" ht="23.25" customHeight="1">
      <c r="A28" s="189" t="s">
        <v>202</v>
      </c>
      <c r="B28" s="234" t="s">
        <v>199</v>
      </c>
      <c r="C28" s="85"/>
      <c r="D28" s="152"/>
      <c r="E28" s="149"/>
      <c r="F28" s="150"/>
      <c r="G28" s="150"/>
      <c r="H28" s="150"/>
      <c r="I28" s="150"/>
      <c r="J28" s="150"/>
      <c r="K28" s="150"/>
      <c r="L28" s="150"/>
      <c r="M28" s="150"/>
      <c r="N28" s="153"/>
      <c r="O28" s="163"/>
      <c r="P28" s="185"/>
      <c r="Q28" s="230">
        <f>R28+S28</f>
        <v>30</v>
      </c>
      <c r="R28" s="164">
        <f>R29</f>
        <v>0</v>
      </c>
      <c r="S28" s="164">
        <f>S29</f>
        <v>30</v>
      </c>
      <c r="T28" s="164"/>
      <c r="U28" s="163"/>
      <c r="V28" s="181"/>
    </row>
    <row r="29" spans="1:22" s="143" customFormat="1" ht="15">
      <c r="A29" s="188" t="s">
        <v>250</v>
      </c>
      <c r="B29" s="235"/>
      <c r="C29" s="105">
        <v>1087</v>
      </c>
      <c r="D29" s="223" t="s">
        <v>120</v>
      </c>
      <c r="E29" s="221">
        <f>SUM(F29:G29)</f>
        <v>101.6</v>
      </c>
      <c r="F29" s="204">
        <v>36.6</v>
      </c>
      <c r="G29" s="204">
        <v>65</v>
      </c>
      <c r="H29" s="204">
        <f>SUM(I29:J29)</f>
        <v>101.6</v>
      </c>
      <c r="I29" s="204">
        <v>36.6</v>
      </c>
      <c r="J29" s="204">
        <v>65</v>
      </c>
      <c r="K29" s="204">
        <f>SUM(L29:M29)</f>
        <v>49.629999999999995</v>
      </c>
      <c r="L29" s="204">
        <v>23.39</v>
      </c>
      <c r="M29" s="204">
        <v>26.24</v>
      </c>
      <c r="N29" s="205">
        <f>SUM(O29:P29)</f>
        <v>74.4</v>
      </c>
      <c r="O29" s="165">
        <v>35.4</v>
      </c>
      <c r="P29" s="208">
        <v>39</v>
      </c>
      <c r="Q29" s="229">
        <f>SUM(R29:S29)</f>
        <v>30</v>
      </c>
      <c r="R29" s="165">
        <v>0</v>
      </c>
      <c r="S29" s="165">
        <v>30</v>
      </c>
      <c r="T29" s="209">
        <f>SUM(U29:U29)</f>
        <v>35.4</v>
      </c>
      <c r="U29" s="165">
        <v>35.4</v>
      </c>
      <c r="V29" s="210"/>
    </row>
    <row r="30" spans="1:22" s="159" customFormat="1" ht="23.25" customHeight="1">
      <c r="A30" s="189" t="s">
        <v>203</v>
      </c>
      <c r="B30" s="234" t="s">
        <v>200</v>
      </c>
      <c r="C30" s="85"/>
      <c r="D30" s="152"/>
      <c r="E30" s="149"/>
      <c r="F30" s="150"/>
      <c r="G30" s="150"/>
      <c r="H30" s="150"/>
      <c r="I30" s="150"/>
      <c r="J30" s="150"/>
      <c r="K30" s="150"/>
      <c r="L30" s="150"/>
      <c r="M30" s="150"/>
      <c r="N30" s="153"/>
      <c r="O30" s="163"/>
      <c r="P30" s="185"/>
      <c r="Q30" s="230">
        <f>R30+S30</f>
        <v>1073.8</v>
      </c>
      <c r="R30" s="164">
        <f>SUM(R31:R55)</f>
        <v>1050.6</v>
      </c>
      <c r="S30" s="164">
        <f>SUM(S31:S55)</f>
        <v>23.2</v>
      </c>
      <c r="T30" s="164"/>
      <c r="U30" s="163"/>
      <c r="V30" s="181"/>
    </row>
    <row r="31" spans="1:22" s="147" customFormat="1" ht="15.75" customHeight="1">
      <c r="A31" s="188" t="s">
        <v>246</v>
      </c>
      <c r="B31" s="235"/>
      <c r="C31" s="196" t="s">
        <v>152</v>
      </c>
      <c r="D31" s="222" t="s">
        <v>94</v>
      </c>
      <c r="E31" s="221">
        <f>SUM(F31:G31)</f>
        <v>0</v>
      </c>
      <c r="F31" s="160"/>
      <c r="G31" s="160"/>
      <c r="H31" s="204">
        <f>SUM(I31:J31)</f>
        <v>0</v>
      </c>
      <c r="I31" s="160"/>
      <c r="J31" s="160"/>
      <c r="K31" s="204">
        <f>SUM(L31:M31)</f>
        <v>0</v>
      </c>
      <c r="L31" s="160"/>
      <c r="M31" s="160"/>
      <c r="N31" s="205">
        <f>SUM(O31:P31)</f>
        <v>0</v>
      </c>
      <c r="O31" s="160">
        <v>0</v>
      </c>
      <c r="P31" s="218">
        <v>0</v>
      </c>
      <c r="Q31" s="231">
        <f>SUM(R31:S31)</f>
        <v>20</v>
      </c>
      <c r="R31" s="160">
        <v>20</v>
      </c>
      <c r="S31" s="160">
        <v>0</v>
      </c>
      <c r="T31" s="205">
        <f aca="true" t="shared" si="10" ref="T31:T55">SUM(U31:U31)</f>
        <v>20</v>
      </c>
      <c r="U31" s="160">
        <v>20</v>
      </c>
      <c r="V31" s="219"/>
    </row>
    <row r="32" spans="1:22" s="143" customFormat="1" ht="15">
      <c r="A32" s="188" t="s">
        <v>245</v>
      </c>
      <c r="B32" s="235"/>
      <c r="C32" s="105">
        <v>1087</v>
      </c>
      <c r="D32" s="223" t="s">
        <v>95</v>
      </c>
      <c r="E32" s="221">
        <f>SUM(F32:G32)</f>
        <v>41</v>
      </c>
      <c r="F32" s="105">
        <v>41</v>
      </c>
      <c r="G32" s="105"/>
      <c r="H32" s="204">
        <f>SUM(I32:J32)</f>
        <v>41</v>
      </c>
      <c r="I32" s="204">
        <v>41</v>
      </c>
      <c r="J32" s="204"/>
      <c r="K32" s="204">
        <f>SUM(L32:M32)</f>
        <v>25.09</v>
      </c>
      <c r="L32" s="204">
        <v>25.09</v>
      </c>
      <c r="M32" s="204"/>
      <c r="N32" s="205">
        <f>SUM(O32:P32)</f>
        <v>37</v>
      </c>
      <c r="O32" s="162">
        <v>37</v>
      </c>
      <c r="P32" s="206">
        <f aca="true" t="shared" si="11" ref="P32:P40">M32/6*12</f>
        <v>0</v>
      </c>
      <c r="Q32" s="231">
        <f>SUM(R32:S32)</f>
        <v>37</v>
      </c>
      <c r="R32" s="162">
        <v>37</v>
      </c>
      <c r="S32" s="162">
        <f aca="true" t="shared" si="12" ref="S32:S40">P32/6*12</f>
        <v>0</v>
      </c>
      <c r="T32" s="205">
        <f t="shared" si="10"/>
        <v>37</v>
      </c>
      <c r="U32" s="162">
        <v>37</v>
      </c>
      <c r="V32" s="210"/>
    </row>
    <row r="33" spans="1:22" s="143" customFormat="1" ht="15">
      <c r="A33" s="188" t="s">
        <v>244</v>
      </c>
      <c r="B33" s="235"/>
      <c r="C33" s="105">
        <v>1087</v>
      </c>
      <c r="D33" s="223" t="s">
        <v>96</v>
      </c>
      <c r="E33" s="221">
        <f>SUM(F33:G33)</f>
        <v>35</v>
      </c>
      <c r="F33" s="105">
        <v>35</v>
      </c>
      <c r="G33" s="105"/>
      <c r="H33" s="204">
        <f>SUM(I33:J33)</f>
        <v>35</v>
      </c>
      <c r="I33" s="204">
        <v>35</v>
      </c>
      <c r="J33" s="204"/>
      <c r="K33" s="204">
        <f>SUM(L33:M33)</f>
        <v>40.26</v>
      </c>
      <c r="L33" s="204">
        <v>40.26</v>
      </c>
      <c r="M33" s="204"/>
      <c r="N33" s="205">
        <f>SUM(O33:P33)</f>
        <v>60</v>
      </c>
      <c r="O33" s="162">
        <v>60</v>
      </c>
      <c r="P33" s="206">
        <f t="shared" si="11"/>
        <v>0</v>
      </c>
      <c r="Q33" s="231">
        <f>SUM(R33:S33)</f>
        <v>60</v>
      </c>
      <c r="R33" s="162">
        <v>60</v>
      </c>
      <c r="S33" s="162">
        <f t="shared" si="12"/>
        <v>0</v>
      </c>
      <c r="T33" s="205">
        <f t="shared" si="10"/>
        <v>60</v>
      </c>
      <c r="U33" s="162">
        <v>60</v>
      </c>
      <c r="V33" s="210"/>
    </row>
    <row r="34" spans="1:22" s="143" customFormat="1" ht="15">
      <c r="A34" s="188" t="s">
        <v>243</v>
      </c>
      <c r="B34" s="235"/>
      <c r="C34" s="105">
        <v>1087</v>
      </c>
      <c r="D34" s="223" t="s">
        <v>97</v>
      </c>
      <c r="E34" s="221">
        <f>SUM(F34:G34)</f>
        <v>41</v>
      </c>
      <c r="F34" s="204">
        <v>41</v>
      </c>
      <c r="G34" s="204"/>
      <c r="H34" s="204">
        <f>SUM(I34:J34)</f>
        <v>41</v>
      </c>
      <c r="I34" s="204">
        <v>41</v>
      </c>
      <c r="J34" s="204"/>
      <c r="K34" s="204">
        <f>SUM(L34:M34)</f>
        <v>9.92</v>
      </c>
      <c r="L34" s="204">
        <v>9.92</v>
      </c>
      <c r="M34" s="204"/>
      <c r="N34" s="205">
        <f>SUM(O34:P34)</f>
        <v>14.9</v>
      </c>
      <c r="O34" s="162">
        <v>14.9</v>
      </c>
      <c r="P34" s="206">
        <f t="shared" si="11"/>
        <v>0</v>
      </c>
      <c r="Q34" s="231">
        <f>SUM(R34:S34)</f>
        <v>10</v>
      </c>
      <c r="R34" s="162">
        <v>10</v>
      </c>
      <c r="S34" s="162">
        <f t="shared" si="12"/>
        <v>0</v>
      </c>
      <c r="T34" s="205">
        <f t="shared" si="10"/>
        <v>14.9</v>
      </c>
      <c r="U34" s="162">
        <v>14.9</v>
      </c>
      <c r="V34" s="210"/>
    </row>
    <row r="35" spans="1:22" s="143" customFormat="1" ht="15">
      <c r="A35" s="188" t="s">
        <v>252</v>
      </c>
      <c r="B35" s="235"/>
      <c r="C35" s="105">
        <v>1087</v>
      </c>
      <c r="D35" s="223" t="s">
        <v>98</v>
      </c>
      <c r="E35" s="221">
        <f>SUM(F35:G35)</f>
        <v>63.3</v>
      </c>
      <c r="F35" s="204">
        <v>63.3</v>
      </c>
      <c r="G35" s="204"/>
      <c r="H35" s="204">
        <f>SUM(I35:J35)</f>
        <v>63.3</v>
      </c>
      <c r="I35" s="204">
        <v>63.3</v>
      </c>
      <c r="J35" s="204"/>
      <c r="K35" s="204">
        <f>SUM(L35:M35)</f>
        <v>38.23</v>
      </c>
      <c r="L35" s="204">
        <v>38.23</v>
      </c>
      <c r="M35" s="204"/>
      <c r="N35" s="205">
        <f>SUM(O35:P35)</f>
        <v>67.6</v>
      </c>
      <c r="O35" s="162">
        <f>44.6+23</f>
        <v>67.6</v>
      </c>
      <c r="P35" s="206">
        <f t="shared" si="11"/>
        <v>0</v>
      </c>
      <c r="Q35" s="231">
        <f>SUM(R35:S35)</f>
        <v>44.6</v>
      </c>
      <c r="R35" s="162">
        <v>44.6</v>
      </c>
      <c r="S35" s="162">
        <f t="shared" si="12"/>
        <v>0</v>
      </c>
      <c r="T35" s="205">
        <f t="shared" si="10"/>
        <v>67.6</v>
      </c>
      <c r="U35" s="162">
        <f>44.6+23</f>
        <v>67.6</v>
      </c>
      <c r="V35" s="210"/>
    </row>
    <row r="36" spans="1:22" s="143" customFormat="1" ht="15">
      <c r="A36" s="188" t="s">
        <v>242</v>
      </c>
      <c r="B36" s="235"/>
      <c r="C36" s="105">
        <v>1087</v>
      </c>
      <c r="D36" s="223" t="s">
        <v>100</v>
      </c>
      <c r="E36" s="221">
        <f aca="true" t="shared" si="13" ref="E36:E45">SUM(F36:G36)</f>
        <v>0</v>
      </c>
      <c r="F36" s="204">
        <v>0</v>
      </c>
      <c r="G36" s="204"/>
      <c r="H36" s="204">
        <f aca="true" t="shared" si="14" ref="H36:H45">SUM(I36:J36)</f>
        <v>0</v>
      </c>
      <c r="I36" s="204">
        <v>0</v>
      </c>
      <c r="J36" s="204"/>
      <c r="K36" s="204">
        <f aca="true" t="shared" si="15" ref="K36:K45">SUM(L36:M36)</f>
        <v>0</v>
      </c>
      <c r="L36" s="204">
        <v>0</v>
      </c>
      <c r="M36" s="204"/>
      <c r="N36" s="205">
        <f aca="true" t="shared" si="16" ref="N36:N45">SUM(O36:P36)</f>
        <v>0</v>
      </c>
      <c r="O36" s="162">
        <f>L36/6*3+L36</f>
        <v>0</v>
      </c>
      <c r="P36" s="206">
        <f t="shared" si="11"/>
        <v>0</v>
      </c>
      <c r="Q36" s="231">
        <f aca="true" t="shared" si="17" ref="Q36:Q45">SUM(R36:S36)</f>
        <v>10</v>
      </c>
      <c r="R36" s="162">
        <v>10</v>
      </c>
      <c r="S36" s="162">
        <f t="shared" si="12"/>
        <v>0</v>
      </c>
      <c r="T36" s="205">
        <f t="shared" si="10"/>
        <v>15</v>
      </c>
      <c r="U36" s="162">
        <f>R36/6*3+R36</f>
        <v>15</v>
      </c>
      <c r="V36" s="210"/>
    </row>
    <row r="37" spans="1:22" s="143" customFormat="1" ht="15">
      <c r="A37" s="188" t="s">
        <v>216</v>
      </c>
      <c r="B37" s="235"/>
      <c r="C37" s="105">
        <v>1087</v>
      </c>
      <c r="D37" s="223" t="s">
        <v>101</v>
      </c>
      <c r="E37" s="221">
        <f t="shared" si="13"/>
        <v>2</v>
      </c>
      <c r="F37" s="204">
        <v>2</v>
      </c>
      <c r="G37" s="204"/>
      <c r="H37" s="204">
        <f t="shared" si="14"/>
        <v>2</v>
      </c>
      <c r="I37" s="204">
        <v>2</v>
      </c>
      <c r="J37" s="204"/>
      <c r="K37" s="204">
        <f t="shared" si="15"/>
        <v>0</v>
      </c>
      <c r="L37" s="204">
        <v>0</v>
      </c>
      <c r="M37" s="204"/>
      <c r="N37" s="205">
        <f t="shared" si="16"/>
        <v>2</v>
      </c>
      <c r="O37" s="162">
        <v>2</v>
      </c>
      <c r="P37" s="206">
        <f t="shared" si="11"/>
        <v>0</v>
      </c>
      <c r="Q37" s="231">
        <f t="shared" si="17"/>
        <v>2</v>
      </c>
      <c r="R37" s="162">
        <v>2</v>
      </c>
      <c r="S37" s="162">
        <f t="shared" si="12"/>
        <v>0</v>
      </c>
      <c r="T37" s="205">
        <f t="shared" si="10"/>
        <v>2</v>
      </c>
      <c r="U37" s="162">
        <v>2</v>
      </c>
      <c r="V37" s="210"/>
    </row>
    <row r="38" spans="1:22" s="143" customFormat="1" ht="15">
      <c r="A38" s="188" t="s">
        <v>241</v>
      </c>
      <c r="B38" s="235"/>
      <c r="C38" s="105">
        <v>1087</v>
      </c>
      <c r="D38" s="223" t="s">
        <v>102</v>
      </c>
      <c r="E38" s="221">
        <f t="shared" si="13"/>
        <v>38.2</v>
      </c>
      <c r="F38" s="204">
        <v>38.2</v>
      </c>
      <c r="G38" s="204"/>
      <c r="H38" s="204">
        <f t="shared" si="14"/>
        <v>38.2</v>
      </c>
      <c r="I38" s="204">
        <v>38.2</v>
      </c>
      <c r="J38" s="204"/>
      <c r="K38" s="204">
        <f t="shared" si="15"/>
        <v>10.42</v>
      </c>
      <c r="L38" s="204">
        <v>10.42</v>
      </c>
      <c r="M38" s="204"/>
      <c r="N38" s="205">
        <f t="shared" si="16"/>
        <v>15.6</v>
      </c>
      <c r="O38" s="162">
        <v>15.6</v>
      </c>
      <c r="P38" s="206">
        <f t="shared" si="11"/>
        <v>0</v>
      </c>
      <c r="Q38" s="231">
        <f t="shared" si="17"/>
        <v>15.6</v>
      </c>
      <c r="R38" s="162">
        <v>15.6</v>
      </c>
      <c r="S38" s="162">
        <f t="shared" si="12"/>
        <v>0</v>
      </c>
      <c r="T38" s="205">
        <f t="shared" si="10"/>
        <v>15.6</v>
      </c>
      <c r="U38" s="162">
        <v>15.6</v>
      </c>
      <c r="V38" s="210"/>
    </row>
    <row r="39" spans="1:22" s="143" customFormat="1" ht="15">
      <c r="A39" s="188" t="s">
        <v>240</v>
      </c>
      <c r="B39" s="235"/>
      <c r="C39" s="105">
        <v>1087</v>
      </c>
      <c r="D39" s="223" t="s">
        <v>103</v>
      </c>
      <c r="E39" s="221">
        <f t="shared" si="13"/>
        <v>18.5</v>
      </c>
      <c r="F39" s="204">
        <v>18.5</v>
      </c>
      <c r="G39" s="204"/>
      <c r="H39" s="204">
        <f t="shared" si="14"/>
        <v>18.5</v>
      </c>
      <c r="I39" s="204">
        <v>18.5</v>
      </c>
      <c r="J39" s="204"/>
      <c r="K39" s="204">
        <f t="shared" si="15"/>
        <v>10.08</v>
      </c>
      <c r="L39" s="204">
        <v>10.08</v>
      </c>
      <c r="M39" s="204"/>
      <c r="N39" s="205">
        <f t="shared" si="16"/>
        <v>15</v>
      </c>
      <c r="O39" s="162">
        <v>15</v>
      </c>
      <c r="P39" s="206">
        <f t="shared" si="11"/>
        <v>0</v>
      </c>
      <c r="Q39" s="231">
        <f t="shared" si="17"/>
        <v>15</v>
      </c>
      <c r="R39" s="162">
        <v>15</v>
      </c>
      <c r="S39" s="162">
        <f t="shared" si="12"/>
        <v>0</v>
      </c>
      <c r="T39" s="205">
        <f t="shared" si="10"/>
        <v>15</v>
      </c>
      <c r="U39" s="162">
        <v>15</v>
      </c>
      <c r="V39" s="210"/>
    </row>
    <row r="40" spans="1:22" s="143" customFormat="1" ht="15">
      <c r="A40" s="188" t="s">
        <v>239</v>
      </c>
      <c r="B40" s="235"/>
      <c r="C40" s="105">
        <v>1087</v>
      </c>
      <c r="D40" s="223" t="s">
        <v>104</v>
      </c>
      <c r="E40" s="221">
        <f t="shared" si="13"/>
        <v>0</v>
      </c>
      <c r="F40" s="204">
        <v>0</v>
      </c>
      <c r="G40" s="204"/>
      <c r="H40" s="204">
        <f t="shared" si="14"/>
        <v>0</v>
      </c>
      <c r="I40" s="204">
        <v>0</v>
      </c>
      <c r="J40" s="204"/>
      <c r="K40" s="204">
        <f t="shared" si="15"/>
        <v>0</v>
      </c>
      <c r="L40" s="204">
        <v>0</v>
      </c>
      <c r="M40" s="204"/>
      <c r="N40" s="205">
        <f t="shared" si="16"/>
        <v>5</v>
      </c>
      <c r="O40" s="162">
        <v>5</v>
      </c>
      <c r="P40" s="206">
        <f t="shared" si="11"/>
        <v>0</v>
      </c>
      <c r="Q40" s="231">
        <f t="shared" si="17"/>
        <v>5</v>
      </c>
      <c r="R40" s="162">
        <v>5</v>
      </c>
      <c r="S40" s="162">
        <f t="shared" si="12"/>
        <v>0</v>
      </c>
      <c r="T40" s="205">
        <f t="shared" si="10"/>
        <v>5</v>
      </c>
      <c r="U40" s="162">
        <v>5</v>
      </c>
      <c r="V40" s="210"/>
    </row>
    <row r="41" spans="1:22" s="143" customFormat="1" ht="15">
      <c r="A41" s="188" t="s">
        <v>238</v>
      </c>
      <c r="B41" s="235"/>
      <c r="C41" s="105">
        <v>1087</v>
      </c>
      <c r="D41" s="223" t="s">
        <v>105</v>
      </c>
      <c r="E41" s="221">
        <f t="shared" si="13"/>
        <v>37.2</v>
      </c>
      <c r="F41" s="204">
        <v>34.2</v>
      </c>
      <c r="G41" s="204">
        <v>3</v>
      </c>
      <c r="H41" s="204">
        <f t="shared" si="14"/>
        <v>37.2</v>
      </c>
      <c r="I41" s="204">
        <v>34.2</v>
      </c>
      <c r="J41" s="204">
        <v>3</v>
      </c>
      <c r="K41" s="204">
        <f t="shared" si="15"/>
        <v>31.330000000000002</v>
      </c>
      <c r="L41" s="204">
        <v>28.8</v>
      </c>
      <c r="M41" s="204">
        <v>2.53</v>
      </c>
      <c r="N41" s="205">
        <f t="shared" si="16"/>
        <v>50</v>
      </c>
      <c r="O41" s="162">
        <v>47</v>
      </c>
      <c r="P41" s="206">
        <v>3</v>
      </c>
      <c r="Q41" s="231">
        <f t="shared" si="17"/>
        <v>50</v>
      </c>
      <c r="R41" s="162">
        <v>47</v>
      </c>
      <c r="S41" s="162">
        <v>3</v>
      </c>
      <c r="T41" s="205">
        <f t="shared" si="10"/>
        <v>47</v>
      </c>
      <c r="U41" s="162">
        <v>47</v>
      </c>
      <c r="V41" s="210"/>
    </row>
    <row r="42" spans="1:22" s="143" customFormat="1" ht="15">
      <c r="A42" s="188" t="s">
        <v>237</v>
      </c>
      <c r="B42" s="235"/>
      <c r="C42" s="105">
        <v>1087</v>
      </c>
      <c r="D42" s="223" t="s">
        <v>106</v>
      </c>
      <c r="E42" s="221">
        <f t="shared" si="13"/>
        <v>36.2</v>
      </c>
      <c r="F42" s="204">
        <v>36.2</v>
      </c>
      <c r="G42" s="204"/>
      <c r="H42" s="204">
        <f t="shared" si="14"/>
        <v>36.2</v>
      </c>
      <c r="I42" s="204">
        <v>36.2</v>
      </c>
      <c r="J42" s="204"/>
      <c r="K42" s="204">
        <f t="shared" si="15"/>
        <v>20.52</v>
      </c>
      <c r="L42" s="204">
        <v>20.52</v>
      </c>
      <c r="M42" s="204"/>
      <c r="N42" s="205">
        <f t="shared" si="16"/>
        <v>37</v>
      </c>
      <c r="O42" s="162">
        <v>37</v>
      </c>
      <c r="P42" s="206">
        <f aca="true" t="shared" si="18" ref="P42:P50">M42/6*12</f>
        <v>0</v>
      </c>
      <c r="Q42" s="231">
        <f t="shared" si="17"/>
        <v>37</v>
      </c>
      <c r="R42" s="162">
        <v>37</v>
      </c>
      <c r="S42" s="162">
        <f aca="true" t="shared" si="19" ref="S42:S50">P42/6*12</f>
        <v>0</v>
      </c>
      <c r="T42" s="205">
        <f t="shared" si="10"/>
        <v>37</v>
      </c>
      <c r="U42" s="162">
        <v>37</v>
      </c>
      <c r="V42" s="210"/>
    </row>
    <row r="43" spans="1:22" s="143" customFormat="1" ht="15">
      <c r="A43" s="188" t="s">
        <v>236</v>
      </c>
      <c r="B43" s="235"/>
      <c r="C43" s="105">
        <v>1087</v>
      </c>
      <c r="D43" s="223" t="s">
        <v>107</v>
      </c>
      <c r="E43" s="221">
        <f t="shared" si="13"/>
        <v>58.2</v>
      </c>
      <c r="F43" s="204">
        <v>58.2</v>
      </c>
      <c r="G43" s="204"/>
      <c r="H43" s="204">
        <f t="shared" si="14"/>
        <v>58.2</v>
      </c>
      <c r="I43" s="204">
        <v>58.2</v>
      </c>
      <c r="J43" s="204"/>
      <c r="K43" s="204">
        <f t="shared" si="15"/>
        <v>22.23</v>
      </c>
      <c r="L43" s="204">
        <v>22.23</v>
      </c>
      <c r="M43" s="204"/>
      <c r="N43" s="205">
        <f t="shared" si="16"/>
        <v>33</v>
      </c>
      <c r="O43" s="162">
        <f>15+18</f>
        <v>33</v>
      </c>
      <c r="P43" s="206">
        <f t="shared" si="18"/>
        <v>0</v>
      </c>
      <c r="Q43" s="231">
        <f t="shared" si="17"/>
        <v>15</v>
      </c>
      <c r="R43" s="162">
        <v>15</v>
      </c>
      <c r="S43" s="162">
        <f t="shared" si="19"/>
        <v>0</v>
      </c>
      <c r="T43" s="205">
        <f t="shared" si="10"/>
        <v>33</v>
      </c>
      <c r="U43" s="162">
        <f>15+18</f>
        <v>33</v>
      </c>
      <c r="V43" s="210"/>
    </row>
    <row r="44" spans="1:22" s="143" customFormat="1" ht="15">
      <c r="A44" s="188" t="s">
        <v>217</v>
      </c>
      <c r="B44" s="235"/>
      <c r="C44" s="105">
        <v>1087</v>
      </c>
      <c r="D44" s="223" t="s">
        <v>108</v>
      </c>
      <c r="E44" s="221">
        <f t="shared" si="13"/>
        <v>59.9</v>
      </c>
      <c r="F44" s="204">
        <v>59.9</v>
      </c>
      <c r="G44" s="204"/>
      <c r="H44" s="204">
        <f t="shared" si="14"/>
        <v>59.9</v>
      </c>
      <c r="I44" s="204">
        <v>59.9</v>
      </c>
      <c r="J44" s="204"/>
      <c r="K44" s="204">
        <f t="shared" si="15"/>
        <v>18.58</v>
      </c>
      <c r="L44" s="204">
        <v>18.58</v>
      </c>
      <c r="M44" s="204"/>
      <c r="N44" s="205">
        <f t="shared" si="16"/>
        <v>27.9</v>
      </c>
      <c r="O44" s="162">
        <v>27.9</v>
      </c>
      <c r="P44" s="206">
        <f t="shared" si="18"/>
        <v>0</v>
      </c>
      <c r="Q44" s="231">
        <f t="shared" si="17"/>
        <v>27.9</v>
      </c>
      <c r="R44" s="162">
        <v>27.9</v>
      </c>
      <c r="S44" s="162">
        <f t="shared" si="19"/>
        <v>0</v>
      </c>
      <c r="T44" s="205">
        <f t="shared" si="10"/>
        <v>27.9</v>
      </c>
      <c r="U44" s="162">
        <v>27.9</v>
      </c>
      <c r="V44" s="210"/>
    </row>
    <row r="45" spans="1:22" s="143" customFormat="1" ht="15">
      <c r="A45" s="188" t="s">
        <v>235</v>
      </c>
      <c r="B45" s="235"/>
      <c r="C45" s="105">
        <v>1087</v>
      </c>
      <c r="D45" s="223" t="s">
        <v>109</v>
      </c>
      <c r="E45" s="221">
        <f t="shared" si="13"/>
        <v>18</v>
      </c>
      <c r="F45" s="204">
        <v>18</v>
      </c>
      <c r="G45" s="204"/>
      <c r="H45" s="204">
        <f t="shared" si="14"/>
        <v>18</v>
      </c>
      <c r="I45" s="204">
        <v>18</v>
      </c>
      <c r="J45" s="204"/>
      <c r="K45" s="204">
        <f t="shared" si="15"/>
        <v>11.18</v>
      </c>
      <c r="L45" s="204">
        <v>11.18</v>
      </c>
      <c r="M45" s="204"/>
      <c r="N45" s="205">
        <f t="shared" si="16"/>
        <v>35.3</v>
      </c>
      <c r="O45" s="165">
        <v>35.3</v>
      </c>
      <c r="P45" s="208">
        <f t="shared" si="18"/>
        <v>0</v>
      </c>
      <c r="Q45" s="229">
        <f t="shared" si="17"/>
        <v>10</v>
      </c>
      <c r="R45" s="165">
        <v>10</v>
      </c>
      <c r="S45" s="165">
        <f t="shared" si="19"/>
        <v>0</v>
      </c>
      <c r="T45" s="209">
        <f t="shared" si="10"/>
        <v>35.3</v>
      </c>
      <c r="U45" s="165">
        <v>35.3</v>
      </c>
      <c r="V45" s="210"/>
    </row>
    <row r="46" spans="1:22" s="143" customFormat="1" ht="15">
      <c r="A46" s="188" t="s">
        <v>234</v>
      </c>
      <c r="B46" s="235"/>
      <c r="C46" s="105">
        <v>1087</v>
      </c>
      <c r="D46" s="223" t="s">
        <v>110</v>
      </c>
      <c r="E46" s="221">
        <f aca="true" t="shared" si="20" ref="E46:E54">SUM(F46:G46)</f>
        <v>61.1</v>
      </c>
      <c r="F46" s="204">
        <v>61.1</v>
      </c>
      <c r="G46" s="204"/>
      <c r="H46" s="204">
        <f aca="true" t="shared" si="21" ref="H46:H54">SUM(I46:J46)</f>
        <v>61.1</v>
      </c>
      <c r="I46" s="204">
        <v>61.1</v>
      </c>
      <c r="J46" s="204"/>
      <c r="K46" s="204">
        <f aca="true" t="shared" si="22" ref="K46:K54">SUM(L46:M46)</f>
        <v>36.38</v>
      </c>
      <c r="L46" s="204">
        <v>36.38</v>
      </c>
      <c r="M46" s="204"/>
      <c r="N46" s="205">
        <f aca="true" t="shared" si="23" ref="N46:N54">SUM(O46:P46)</f>
        <v>54</v>
      </c>
      <c r="O46" s="165">
        <v>54</v>
      </c>
      <c r="P46" s="208">
        <f t="shared" si="18"/>
        <v>0</v>
      </c>
      <c r="Q46" s="229">
        <f aca="true" t="shared" si="24" ref="Q46:Q54">SUM(R46:S46)</f>
        <v>54</v>
      </c>
      <c r="R46" s="165">
        <v>54</v>
      </c>
      <c r="S46" s="165">
        <f t="shared" si="19"/>
        <v>0</v>
      </c>
      <c r="T46" s="209">
        <f t="shared" si="10"/>
        <v>54</v>
      </c>
      <c r="U46" s="165">
        <v>54</v>
      </c>
      <c r="V46" s="210"/>
    </row>
    <row r="47" spans="1:22" s="143" customFormat="1" ht="15">
      <c r="A47" s="188" t="s">
        <v>233</v>
      </c>
      <c r="B47" s="235"/>
      <c r="C47" s="105">
        <v>1087</v>
      </c>
      <c r="D47" s="223" t="s">
        <v>111</v>
      </c>
      <c r="E47" s="221">
        <f t="shared" si="20"/>
        <v>98.5</v>
      </c>
      <c r="F47" s="204">
        <v>98.5</v>
      </c>
      <c r="G47" s="204"/>
      <c r="H47" s="204">
        <f t="shared" si="21"/>
        <v>98.5</v>
      </c>
      <c r="I47" s="204">
        <v>98.5</v>
      </c>
      <c r="J47" s="204"/>
      <c r="K47" s="204">
        <f t="shared" si="22"/>
        <v>43.25</v>
      </c>
      <c r="L47" s="204">
        <v>43.25</v>
      </c>
      <c r="M47" s="204"/>
      <c r="N47" s="205">
        <f t="shared" si="23"/>
        <v>52.1</v>
      </c>
      <c r="O47" s="165">
        <v>52.1</v>
      </c>
      <c r="P47" s="208">
        <f t="shared" si="18"/>
        <v>0</v>
      </c>
      <c r="Q47" s="229">
        <f t="shared" si="24"/>
        <v>40</v>
      </c>
      <c r="R47" s="165">
        <v>40</v>
      </c>
      <c r="S47" s="165">
        <f t="shared" si="19"/>
        <v>0</v>
      </c>
      <c r="T47" s="209">
        <f t="shared" si="10"/>
        <v>52.1</v>
      </c>
      <c r="U47" s="165">
        <v>52.1</v>
      </c>
      <c r="V47" s="210"/>
    </row>
    <row r="48" spans="1:22" s="143" customFormat="1" ht="15">
      <c r="A48" s="188" t="s">
        <v>232</v>
      </c>
      <c r="B48" s="235"/>
      <c r="C48" s="105">
        <v>1087</v>
      </c>
      <c r="D48" s="223" t="s">
        <v>112</v>
      </c>
      <c r="E48" s="221">
        <f t="shared" si="20"/>
        <v>66.7</v>
      </c>
      <c r="F48" s="204">
        <v>66.7</v>
      </c>
      <c r="G48" s="204"/>
      <c r="H48" s="204">
        <f t="shared" si="21"/>
        <v>66.7</v>
      </c>
      <c r="I48" s="204">
        <v>66.7</v>
      </c>
      <c r="J48" s="204"/>
      <c r="K48" s="204">
        <f t="shared" si="22"/>
        <v>43.43</v>
      </c>
      <c r="L48" s="204">
        <v>43.43</v>
      </c>
      <c r="M48" s="204"/>
      <c r="N48" s="205">
        <f t="shared" si="23"/>
        <v>65.1</v>
      </c>
      <c r="O48" s="165">
        <v>65.1</v>
      </c>
      <c r="P48" s="208">
        <f t="shared" si="18"/>
        <v>0</v>
      </c>
      <c r="Q48" s="229">
        <f t="shared" si="24"/>
        <v>65.1</v>
      </c>
      <c r="R48" s="165">
        <v>65.1</v>
      </c>
      <c r="S48" s="165">
        <f t="shared" si="19"/>
        <v>0</v>
      </c>
      <c r="T48" s="209">
        <f t="shared" si="10"/>
        <v>65.1</v>
      </c>
      <c r="U48" s="165">
        <v>65.1</v>
      </c>
      <c r="V48" s="210"/>
    </row>
    <row r="49" spans="1:22" s="143" customFormat="1" ht="15">
      <c r="A49" s="188" t="s">
        <v>231</v>
      </c>
      <c r="B49" s="235"/>
      <c r="C49" s="105">
        <v>1087</v>
      </c>
      <c r="D49" s="223" t="s">
        <v>113</v>
      </c>
      <c r="E49" s="221">
        <f t="shared" si="20"/>
        <v>52.2</v>
      </c>
      <c r="F49" s="204">
        <v>52.2</v>
      </c>
      <c r="G49" s="204"/>
      <c r="H49" s="204">
        <f t="shared" si="21"/>
        <v>52.2</v>
      </c>
      <c r="I49" s="204">
        <v>52.2</v>
      </c>
      <c r="J49" s="204"/>
      <c r="K49" s="204">
        <f t="shared" si="22"/>
        <v>20.67</v>
      </c>
      <c r="L49" s="204">
        <v>20.67</v>
      </c>
      <c r="M49" s="204"/>
      <c r="N49" s="205">
        <f t="shared" si="23"/>
        <v>31</v>
      </c>
      <c r="O49" s="165">
        <v>31</v>
      </c>
      <c r="P49" s="208">
        <f t="shared" si="18"/>
        <v>0</v>
      </c>
      <c r="Q49" s="229">
        <f t="shared" si="24"/>
        <v>31</v>
      </c>
      <c r="R49" s="165">
        <v>31</v>
      </c>
      <c r="S49" s="165">
        <f t="shared" si="19"/>
        <v>0</v>
      </c>
      <c r="T49" s="209">
        <f t="shared" si="10"/>
        <v>31</v>
      </c>
      <c r="U49" s="165">
        <v>31</v>
      </c>
      <c r="V49" s="210"/>
    </row>
    <row r="50" spans="1:22" s="143" customFormat="1" ht="15">
      <c r="A50" s="188" t="s">
        <v>218</v>
      </c>
      <c r="B50" s="235"/>
      <c r="C50" s="105">
        <v>1087</v>
      </c>
      <c r="D50" s="223" t="s">
        <v>114</v>
      </c>
      <c r="E50" s="221">
        <f t="shared" si="20"/>
        <v>59.9</v>
      </c>
      <c r="F50" s="204">
        <v>59.9</v>
      </c>
      <c r="G50" s="204"/>
      <c r="H50" s="204">
        <f t="shared" si="21"/>
        <v>59.9</v>
      </c>
      <c r="I50" s="204">
        <v>59.9</v>
      </c>
      <c r="J50" s="204"/>
      <c r="K50" s="204">
        <f t="shared" si="22"/>
        <v>36.3</v>
      </c>
      <c r="L50" s="204">
        <v>36.3</v>
      </c>
      <c r="M50" s="204"/>
      <c r="N50" s="205">
        <f t="shared" si="23"/>
        <v>54.5</v>
      </c>
      <c r="O50" s="165">
        <v>54.5</v>
      </c>
      <c r="P50" s="208">
        <f t="shared" si="18"/>
        <v>0</v>
      </c>
      <c r="Q50" s="229">
        <f t="shared" si="24"/>
        <v>54.5</v>
      </c>
      <c r="R50" s="165">
        <v>54.5</v>
      </c>
      <c r="S50" s="165">
        <f t="shared" si="19"/>
        <v>0</v>
      </c>
      <c r="T50" s="209">
        <f t="shared" si="10"/>
        <v>54.5</v>
      </c>
      <c r="U50" s="165">
        <v>54.5</v>
      </c>
      <c r="V50" s="210"/>
    </row>
    <row r="51" spans="1:22" s="143" customFormat="1" ht="15">
      <c r="A51" s="188" t="s">
        <v>230</v>
      </c>
      <c r="B51" s="235"/>
      <c r="C51" s="105">
        <v>1087</v>
      </c>
      <c r="D51" s="223" t="s">
        <v>116</v>
      </c>
      <c r="E51" s="221">
        <f t="shared" si="20"/>
        <v>20.5</v>
      </c>
      <c r="F51" s="204">
        <v>20.5</v>
      </c>
      <c r="G51" s="204"/>
      <c r="H51" s="204">
        <f t="shared" si="21"/>
        <v>20.5</v>
      </c>
      <c r="I51" s="204">
        <v>20.5</v>
      </c>
      <c r="J51" s="204"/>
      <c r="K51" s="204">
        <f t="shared" si="22"/>
        <v>12.93</v>
      </c>
      <c r="L51" s="204">
        <v>12.93</v>
      </c>
      <c r="M51" s="204"/>
      <c r="N51" s="205">
        <f t="shared" si="23"/>
        <v>26.099999999999998</v>
      </c>
      <c r="O51" s="165">
        <v>19.4</v>
      </c>
      <c r="P51" s="208">
        <v>6.7</v>
      </c>
      <c r="Q51" s="229">
        <f t="shared" si="24"/>
        <v>26.099999999999998</v>
      </c>
      <c r="R51" s="165">
        <v>19.4</v>
      </c>
      <c r="S51" s="165">
        <v>6.7</v>
      </c>
      <c r="T51" s="209">
        <f t="shared" si="10"/>
        <v>19.4</v>
      </c>
      <c r="U51" s="165">
        <v>19.4</v>
      </c>
      <c r="V51" s="210"/>
    </row>
    <row r="52" spans="1:22" s="143" customFormat="1" ht="15">
      <c r="A52" s="188" t="s">
        <v>219</v>
      </c>
      <c r="B52" s="235"/>
      <c r="C52" s="105">
        <v>1087</v>
      </c>
      <c r="D52" s="223" t="s">
        <v>117</v>
      </c>
      <c r="E52" s="221">
        <f t="shared" si="20"/>
        <v>145.6</v>
      </c>
      <c r="F52" s="204">
        <v>141.1</v>
      </c>
      <c r="G52" s="204">
        <v>4.5</v>
      </c>
      <c r="H52" s="204">
        <f t="shared" si="21"/>
        <v>145.6</v>
      </c>
      <c r="I52" s="204">
        <v>141.1</v>
      </c>
      <c r="J52" s="204">
        <v>4.5</v>
      </c>
      <c r="K52" s="204">
        <f t="shared" si="22"/>
        <v>35.8</v>
      </c>
      <c r="L52" s="204">
        <v>35.8</v>
      </c>
      <c r="M52" s="204"/>
      <c r="N52" s="205">
        <f t="shared" si="23"/>
        <v>53.8</v>
      </c>
      <c r="O52" s="165">
        <v>53</v>
      </c>
      <c r="P52" s="208">
        <v>0.8</v>
      </c>
      <c r="Q52" s="229">
        <f t="shared" si="24"/>
        <v>53.8</v>
      </c>
      <c r="R52" s="165">
        <v>53</v>
      </c>
      <c r="S52" s="165">
        <v>0.8</v>
      </c>
      <c r="T52" s="209">
        <f t="shared" si="10"/>
        <v>53</v>
      </c>
      <c r="U52" s="165">
        <v>53</v>
      </c>
      <c r="V52" s="210"/>
    </row>
    <row r="53" spans="1:22" s="143" customFormat="1" ht="15">
      <c r="A53" s="188" t="s">
        <v>229</v>
      </c>
      <c r="B53" s="235"/>
      <c r="C53" s="105">
        <v>1087</v>
      </c>
      <c r="D53" s="223" t="s">
        <v>119</v>
      </c>
      <c r="E53" s="221">
        <f t="shared" si="20"/>
        <v>84.8</v>
      </c>
      <c r="F53" s="204">
        <v>82.1</v>
      </c>
      <c r="G53" s="204">
        <v>2.7</v>
      </c>
      <c r="H53" s="204">
        <f t="shared" si="21"/>
        <v>84.8</v>
      </c>
      <c r="I53" s="204">
        <v>82.1</v>
      </c>
      <c r="J53" s="204">
        <v>2.7</v>
      </c>
      <c r="K53" s="204">
        <f t="shared" si="22"/>
        <v>17.08</v>
      </c>
      <c r="L53" s="204">
        <v>17.08</v>
      </c>
      <c r="M53" s="204"/>
      <c r="N53" s="205">
        <f t="shared" si="23"/>
        <v>42.7</v>
      </c>
      <c r="O53" s="165">
        <v>40</v>
      </c>
      <c r="P53" s="208">
        <v>2.7</v>
      </c>
      <c r="Q53" s="229">
        <f t="shared" si="24"/>
        <v>32.7</v>
      </c>
      <c r="R53" s="165">
        <v>30</v>
      </c>
      <c r="S53" s="165">
        <v>2.7</v>
      </c>
      <c r="T53" s="209">
        <f t="shared" si="10"/>
        <v>40</v>
      </c>
      <c r="U53" s="165">
        <v>40</v>
      </c>
      <c r="V53" s="210"/>
    </row>
    <row r="54" spans="1:22" s="143" customFormat="1" ht="15">
      <c r="A54" s="188" t="s">
        <v>228</v>
      </c>
      <c r="B54" s="235"/>
      <c r="C54" s="105">
        <v>1087</v>
      </c>
      <c r="D54" s="223" t="s">
        <v>115</v>
      </c>
      <c r="E54" s="221">
        <f t="shared" si="20"/>
        <v>388.2</v>
      </c>
      <c r="F54" s="204">
        <v>388.2</v>
      </c>
      <c r="G54" s="204"/>
      <c r="H54" s="204">
        <f t="shared" si="21"/>
        <v>388.2</v>
      </c>
      <c r="I54" s="204">
        <v>388.2</v>
      </c>
      <c r="J54" s="204"/>
      <c r="K54" s="204">
        <f t="shared" si="22"/>
        <v>229.85</v>
      </c>
      <c r="L54" s="204">
        <v>229.85</v>
      </c>
      <c r="M54" s="204"/>
      <c r="N54" s="205">
        <f t="shared" si="23"/>
        <v>323</v>
      </c>
      <c r="O54" s="165">
        <f>302.5+20.5</f>
        <v>323</v>
      </c>
      <c r="P54" s="208">
        <f>M54/6*12</f>
        <v>0</v>
      </c>
      <c r="Q54" s="229">
        <f t="shared" si="24"/>
        <v>302.5</v>
      </c>
      <c r="R54" s="165">
        <v>302.5</v>
      </c>
      <c r="S54" s="165">
        <f>P54/6*12</f>
        <v>0</v>
      </c>
      <c r="T54" s="209">
        <f t="shared" si="10"/>
        <v>323</v>
      </c>
      <c r="U54" s="165">
        <f>302.5+20.5</f>
        <v>323</v>
      </c>
      <c r="V54" s="210"/>
    </row>
    <row r="55" spans="1:22" s="143" customFormat="1" ht="15">
      <c r="A55" s="188" t="s">
        <v>265</v>
      </c>
      <c r="B55" s="235"/>
      <c r="C55" s="105">
        <v>1087</v>
      </c>
      <c r="D55" s="223" t="s">
        <v>125</v>
      </c>
      <c r="E55" s="221">
        <f>SUM(F55:G55)</f>
        <v>75</v>
      </c>
      <c r="F55" s="204">
        <v>70</v>
      </c>
      <c r="G55" s="204">
        <v>5</v>
      </c>
      <c r="H55" s="204">
        <f>SUM(I55:J55)</f>
        <v>75</v>
      </c>
      <c r="I55" s="204">
        <v>70</v>
      </c>
      <c r="J55" s="204">
        <v>5</v>
      </c>
      <c r="K55" s="204">
        <f>SUM(L55:M55)</f>
        <v>36.69</v>
      </c>
      <c r="L55" s="204">
        <v>29.79</v>
      </c>
      <c r="M55" s="204">
        <v>6.9</v>
      </c>
      <c r="N55" s="205">
        <f>SUM(O55:P55)</f>
        <v>55</v>
      </c>
      <c r="O55" s="165">
        <v>45</v>
      </c>
      <c r="P55" s="208">
        <v>10</v>
      </c>
      <c r="Q55" s="229">
        <f>SUM(R55:S55)</f>
        <v>55</v>
      </c>
      <c r="R55" s="165">
        <v>45</v>
      </c>
      <c r="S55" s="165">
        <v>10</v>
      </c>
      <c r="T55" s="209">
        <f t="shared" si="10"/>
        <v>45</v>
      </c>
      <c r="U55" s="165">
        <v>45</v>
      </c>
      <c r="V55" s="210"/>
    </row>
    <row r="56" spans="1:22" s="159" customFormat="1" ht="23.25" customHeight="1">
      <c r="A56" s="189" t="s">
        <v>204</v>
      </c>
      <c r="B56" s="234" t="s">
        <v>201</v>
      </c>
      <c r="C56" s="85"/>
      <c r="D56" s="152"/>
      <c r="E56" s="149"/>
      <c r="F56" s="150"/>
      <c r="G56" s="150"/>
      <c r="H56" s="150"/>
      <c r="I56" s="150"/>
      <c r="J56" s="150"/>
      <c r="K56" s="150"/>
      <c r="L56" s="150"/>
      <c r="M56" s="150"/>
      <c r="N56" s="153"/>
      <c r="O56" s="163"/>
      <c r="P56" s="185"/>
      <c r="Q56" s="230">
        <f>R56+S56</f>
        <v>1021</v>
      </c>
      <c r="R56" s="164">
        <f>SUM(R57:R65)</f>
        <v>914.6</v>
      </c>
      <c r="S56" s="164">
        <f>SUM(S57:S65)</f>
        <v>106.4</v>
      </c>
      <c r="T56" s="164"/>
      <c r="U56" s="163"/>
      <c r="V56" s="181"/>
    </row>
    <row r="57" spans="1:22" s="143" customFormat="1" ht="15">
      <c r="A57" s="188" t="s">
        <v>256</v>
      </c>
      <c r="B57" s="235"/>
      <c r="C57" s="105">
        <v>1087</v>
      </c>
      <c r="D57" s="223" t="s">
        <v>121</v>
      </c>
      <c r="E57" s="221">
        <f aca="true" t="shared" si="25" ref="E57:E65">SUM(F57:G57)</f>
        <v>15.5</v>
      </c>
      <c r="F57" s="204">
        <v>15.5</v>
      </c>
      <c r="G57" s="204"/>
      <c r="H57" s="204">
        <f aca="true" t="shared" si="26" ref="H57:H65">SUM(I57:J57)</f>
        <v>15.5</v>
      </c>
      <c r="I57" s="204">
        <v>15.5</v>
      </c>
      <c r="J57" s="204"/>
      <c r="K57" s="204">
        <f aca="true" t="shared" si="27" ref="K57:K65">SUM(L57:M57)</f>
        <v>15</v>
      </c>
      <c r="L57" s="204">
        <v>15</v>
      </c>
      <c r="M57" s="204"/>
      <c r="N57" s="205">
        <f aca="true" t="shared" si="28" ref="N57:N65">SUM(O57:P57)</f>
        <v>42</v>
      </c>
      <c r="O57" s="165">
        <v>42</v>
      </c>
      <c r="P57" s="208">
        <f>M57/6*12</f>
        <v>0</v>
      </c>
      <c r="Q57" s="229">
        <f>SUM(R57:S57)</f>
        <v>42</v>
      </c>
      <c r="R57" s="165">
        <v>42</v>
      </c>
      <c r="S57" s="165">
        <f>P57/6*12</f>
        <v>0</v>
      </c>
      <c r="T57" s="209">
        <f aca="true" t="shared" si="29" ref="T57:T65">SUM(U57:U57)</f>
        <v>42</v>
      </c>
      <c r="U57" s="165">
        <v>42</v>
      </c>
      <c r="V57" s="210"/>
    </row>
    <row r="58" spans="1:22" s="143" customFormat="1" ht="15">
      <c r="A58" s="188" t="s">
        <v>227</v>
      </c>
      <c r="B58" s="235"/>
      <c r="C58" s="105">
        <v>1087</v>
      </c>
      <c r="D58" s="223" t="s">
        <v>122</v>
      </c>
      <c r="E58" s="221">
        <f t="shared" si="25"/>
        <v>44.6</v>
      </c>
      <c r="F58" s="204">
        <v>44.6</v>
      </c>
      <c r="G58" s="204"/>
      <c r="H58" s="204">
        <f t="shared" si="26"/>
        <v>44.6</v>
      </c>
      <c r="I58" s="204">
        <v>44.6</v>
      </c>
      <c r="J58" s="204"/>
      <c r="K58" s="204">
        <f t="shared" si="27"/>
        <v>29.03</v>
      </c>
      <c r="L58" s="204">
        <v>29.03</v>
      </c>
      <c r="M58" s="204"/>
      <c r="N58" s="205">
        <f t="shared" si="28"/>
        <v>42</v>
      </c>
      <c r="O58" s="165">
        <v>42</v>
      </c>
      <c r="P58" s="208">
        <f>M58/6*12</f>
        <v>0</v>
      </c>
      <c r="Q58" s="229">
        <f aca="true" t="shared" si="30" ref="Q58:Q65">SUM(R58:S58)</f>
        <v>42</v>
      </c>
      <c r="R58" s="165">
        <v>42</v>
      </c>
      <c r="S58" s="165">
        <f>P58/6*12</f>
        <v>0</v>
      </c>
      <c r="T58" s="209">
        <f t="shared" si="29"/>
        <v>42</v>
      </c>
      <c r="U58" s="165">
        <v>42</v>
      </c>
      <c r="V58" s="210"/>
    </row>
    <row r="59" spans="1:22" s="143" customFormat="1" ht="15">
      <c r="A59" s="188" t="s">
        <v>226</v>
      </c>
      <c r="B59" s="235"/>
      <c r="C59" s="105">
        <v>1087</v>
      </c>
      <c r="D59" s="223" t="s">
        <v>123</v>
      </c>
      <c r="E59" s="221">
        <f t="shared" si="25"/>
        <v>63.7</v>
      </c>
      <c r="F59" s="204">
        <v>63.7</v>
      </c>
      <c r="G59" s="204"/>
      <c r="H59" s="204">
        <f t="shared" si="26"/>
        <v>63.7</v>
      </c>
      <c r="I59" s="204">
        <v>63.7</v>
      </c>
      <c r="J59" s="204"/>
      <c r="K59" s="204">
        <f t="shared" si="27"/>
        <v>28</v>
      </c>
      <c r="L59" s="204">
        <v>28</v>
      </c>
      <c r="M59" s="204"/>
      <c r="N59" s="205">
        <f t="shared" si="28"/>
        <v>62</v>
      </c>
      <c r="O59" s="165">
        <v>62</v>
      </c>
      <c r="P59" s="208">
        <f>M59/6*12</f>
        <v>0</v>
      </c>
      <c r="Q59" s="229">
        <f t="shared" si="30"/>
        <v>62</v>
      </c>
      <c r="R59" s="165">
        <v>62</v>
      </c>
      <c r="S59" s="165">
        <f>P59/6*12</f>
        <v>0</v>
      </c>
      <c r="T59" s="209">
        <f t="shared" si="29"/>
        <v>62</v>
      </c>
      <c r="U59" s="165">
        <v>62</v>
      </c>
      <c r="V59" s="210"/>
    </row>
    <row r="60" spans="1:22" s="143" customFormat="1" ht="15">
      <c r="A60" s="188" t="s">
        <v>225</v>
      </c>
      <c r="B60" s="235"/>
      <c r="C60" s="105">
        <v>1087</v>
      </c>
      <c r="D60" s="223" t="s">
        <v>124</v>
      </c>
      <c r="E60" s="221">
        <f t="shared" si="25"/>
        <v>88.9</v>
      </c>
      <c r="F60" s="204">
        <v>88.9</v>
      </c>
      <c r="G60" s="204"/>
      <c r="H60" s="204">
        <f t="shared" si="26"/>
        <v>88.9</v>
      </c>
      <c r="I60" s="204">
        <v>88.9</v>
      </c>
      <c r="J60" s="204"/>
      <c r="K60" s="204">
        <f t="shared" si="27"/>
        <v>62.09</v>
      </c>
      <c r="L60" s="204">
        <v>62.09</v>
      </c>
      <c r="M60" s="204"/>
      <c r="N60" s="205">
        <f t="shared" si="28"/>
        <v>93.6</v>
      </c>
      <c r="O60" s="165">
        <v>93.1</v>
      </c>
      <c r="P60" s="208">
        <v>0.5</v>
      </c>
      <c r="Q60" s="229">
        <f t="shared" si="30"/>
        <v>93.6</v>
      </c>
      <c r="R60" s="165">
        <v>93.1</v>
      </c>
      <c r="S60" s="165">
        <v>0.5</v>
      </c>
      <c r="T60" s="209">
        <f t="shared" si="29"/>
        <v>93.1</v>
      </c>
      <c r="U60" s="165">
        <v>93.1</v>
      </c>
      <c r="V60" s="210"/>
    </row>
    <row r="61" spans="1:22" s="143" customFormat="1" ht="15">
      <c r="A61" s="188" t="s">
        <v>224</v>
      </c>
      <c r="B61" s="235"/>
      <c r="C61" s="105">
        <v>1087</v>
      </c>
      <c r="D61" s="223" t="s">
        <v>126</v>
      </c>
      <c r="E61" s="221">
        <f t="shared" si="25"/>
        <v>265.1</v>
      </c>
      <c r="F61" s="204">
        <v>234.9</v>
      </c>
      <c r="G61" s="204">
        <v>30.2</v>
      </c>
      <c r="H61" s="204">
        <f t="shared" si="26"/>
        <v>265.1</v>
      </c>
      <c r="I61" s="204">
        <v>234.9</v>
      </c>
      <c r="J61" s="204">
        <v>30.2</v>
      </c>
      <c r="K61" s="204">
        <f t="shared" si="27"/>
        <v>117.55000000000001</v>
      </c>
      <c r="L61" s="204">
        <v>103.62</v>
      </c>
      <c r="M61" s="204">
        <v>13.93</v>
      </c>
      <c r="N61" s="205">
        <f t="shared" si="28"/>
        <v>177.4</v>
      </c>
      <c r="O61" s="165">
        <v>148.4</v>
      </c>
      <c r="P61" s="208">
        <v>29</v>
      </c>
      <c r="Q61" s="229">
        <f t="shared" si="30"/>
        <v>177.4</v>
      </c>
      <c r="R61" s="165">
        <v>148.4</v>
      </c>
      <c r="S61" s="165">
        <v>29</v>
      </c>
      <c r="T61" s="209">
        <f t="shared" si="29"/>
        <v>148.4</v>
      </c>
      <c r="U61" s="165">
        <v>148.4</v>
      </c>
      <c r="V61" s="210"/>
    </row>
    <row r="62" spans="1:22" s="143" customFormat="1" ht="15">
      <c r="A62" s="188" t="s">
        <v>257</v>
      </c>
      <c r="B62" s="235"/>
      <c r="C62" s="105">
        <v>1087</v>
      </c>
      <c r="D62" s="223" t="s">
        <v>127</v>
      </c>
      <c r="E62" s="221">
        <f t="shared" si="25"/>
        <v>62</v>
      </c>
      <c r="F62" s="204">
        <v>62</v>
      </c>
      <c r="G62" s="204"/>
      <c r="H62" s="204">
        <f t="shared" si="26"/>
        <v>62</v>
      </c>
      <c r="I62" s="204">
        <v>62</v>
      </c>
      <c r="J62" s="204"/>
      <c r="K62" s="204">
        <f t="shared" si="27"/>
        <v>25.62</v>
      </c>
      <c r="L62" s="204">
        <v>25.62</v>
      </c>
      <c r="M62" s="204"/>
      <c r="N62" s="205">
        <f t="shared" si="28"/>
        <v>24.9</v>
      </c>
      <c r="O62" s="165">
        <v>0</v>
      </c>
      <c r="P62" s="208">
        <v>24.9</v>
      </c>
      <c r="Q62" s="229">
        <f t="shared" si="30"/>
        <v>24.9</v>
      </c>
      <c r="R62" s="165">
        <v>0</v>
      </c>
      <c r="S62" s="165">
        <v>24.9</v>
      </c>
      <c r="T62" s="209">
        <f t="shared" si="29"/>
        <v>0</v>
      </c>
      <c r="U62" s="165">
        <v>0</v>
      </c>
      <c r="V62" s="210"/>
    </row>
    <row r="63" spans="1:22" s="143" customFormat="1" ht="15">
      <c r="A63" s="188" t="s">
        <v>223</v>
      </c>
      <c r="B63" s="235"/>
      <c r="C63" s="105">
        <v>1087</v>
      </c>
      <c r="D63" s="223" t="s">
        <v>128</v>
      </c>
      <c r="E63" s="221">
        <f t="shared" si="25"/>
        <v>417.3</v>
      </c>
      <c r="F63" s="204">
        <v>384.7</v>
      </c>
      <c r="G63" s="204">
        <v>32.6</v>
      </c>
      <c r="H63" s="204">
        <f t="shared" si="26"/>
        <v>417.3</v>
      </c>
      <c r="I63" s="204">
        <v>384.7</v>
      </c>
      <c r="J63" s="204">
        <v>32.6</v>
      </c>
      <c r="K63" s="204">
        <f t="shared" si="27"/>
        <v>212.1</v>
      </c>
      <c r="L63" s="204">
        <v>201.15</v>
      </c>
      <c r="M63" s="204">
        <v>10.95</v>
      </c>
      <c r="N63" s="205">
        <f t="shared" si="28"/>
        <v>318.2</v>
      </c>
      <c r="O63" s="165">
        <v>296.2</v>
      </c>
      <c r="P63" s="208">
        <v>22</v>
      </c>
      <c r="Q63" s="229">
        <f t="shared" si="30"/>
        <v>222</v>
      </c>
      <c r="R63" s="165">
        <v>200</v>
      </c>
      <c r="S63" s="165">
        <v>22</v>
      </c>
      <c r="T63" s="209">
        <f t="shared" si="29"/>
        <v>296.2</v>
      </c>
      <c r="U63" s="165">
        <v>296.2</v>
      </c>
      <c r="V63" s="210"/>
    </row>
    <row r="64" spans="1:22" s="143" customFormat="1" ht="15">
      <c r="A64" s="188" t="s">
        <v>222</v>
      </c>
      <c r="B64" s="235"/>
      <c r="C64" s="105">
        <v>1087</v>
      </c>
      <c r="D64" s="223" t="s">
        <v>129</v>
      </c>
      <c r="E64" s="221">
        <f t="shared" si="25"/>
        <v>421.5</v>
      </c>
      <c r="F64" s="204">
        <v>384.8</v>
      </c>
      <c r="G64" s="204">
        <v>36.7</v>
      </c>
      <c r="H64" s="204">
        <f t="shared" si="26"/>
        <v>421.5</v>
      </c>
      <c r="I64" s="204">
        <v>384.8</v>
      </c>
      <c r="J64" s="204">
        <v>36.7</v>
      </c>
      <c r="K64" s="204">
        <f t="shared" si="27"/>
        <v>231.22</v>
      </c>
      <c r="L64" s="204">
        <v>214.82</v>
      </c>
      <c r="M64" s="204">
        <v>16.4</v>
      </c>
      <c r="N64" s="205">
        <f t="shared" si="28"/>
        <v>346.8</v>
      </c>
      <c r="O64" s="165">
        <v>317.1</v>
      </c>
      <c r="P64" s="208">
        <v>29.7</v>
      </c>
      <c r="Q64" s="229">
        <f t="shared" si="30"/>
        <v>337.1</v>
      </c>
      <c r="R64" s="165">
        <v>317.1</v>
      </c>
      <c r="S64" s="165">
        <v>20</v>
      </c>
      <c r="T64" s="209">
        <f t="shared" si="29"/>
        <v>317.1</v>
      </c>
      <c r="U64" s="165">
        <v>317.1</v>
      </c>
      <c r="V64" s="210"/>
    </row>
    <row r="65" spans="1:22" s="143" customFormat="1" ht="15">
      <c r="A65" s="188" t="s">
        <v>221</v>
      </c>
      <c r="B65" s="235"/>
      <c r="C65" s="105">
        <v>1087</v>
      </c>
      <c r="D65" s="223" t="s">
        <v>151</v>
      </c>
      <c r="E65" s="221">
        <f t="shared" si="25"/>
        <v>28</v>
      </c>
      <c r="F65" s="204">
        <v>16</v>
      </c>
      <c r="G65" s="204">
        <v>12</v>
      </c>
      <c r="H65" s="204">
        <f t="shared" si="26"/>
        <v>12</v>
      </c>
      <c r="I65" s="204"/>
      <c r="J65" s="204">
        <v>12</v>
      </c>
      <c r="K65" s="204">
        <f t="shared" si="27"/>
        <v>16.490000000000002</v>
      </c>
      <c r="L65" s="204">
        <v>9.23</v>
      </c>
      <c r="M65" s="204">
        <v>7.26</v>
      </c>
      <c r="N65" s="205">
        <f t="shared" si="28"/>
        <v>24</v>
      </c>
      <c r="O65" s="165">
        <v>10</v>
      </c>
      <c r="P65" s="208">
        <v>14</v>
      </c>
      <c r="Q65" s="229">
        <f t="shared" si="30"/>
        <v>20</v>
      </c>
      <c r="R65" s="165">
        <v>10</v>
      </c>
      <c r="S65" s="165">
        <v>10</v>
      </c>
      <c r="T65" s="209">
        <f t="shared" si="29"/>
        <v>10</v>
      </c>
      <c r="U65" s="165">
        <v>10</v>
      </c>
      <c r="V65" s="210"/>
    </row>
    <row r="66" spans="1:22" s="159" customFormat="1" ht="23.25" customHeight="1">
      <c r="A66" s="189" t="s">
        <v>206</v>
      </c>
      <c r="B66" s="234" t="s">
        <v>205</v>
      </c>
      <c r="C66" s="85"/>
      <c r="D66" s="152"/>
      <c r="E66" s="149"/>
      <c r="F66" s="150"/>
      <c r="G66" s="150"/>
      <c r="H66" s="150"/>
      <c r="I66" s="150"/>
      <c r="J66" s="150"/>
      <c r="K66" s="150"/>
      <c r="L66" s="150"/>
      <c r="M66" s="150"/>
      <c r="N66" s="153"/>
      <c r="O66" s="163"/>
      <c r="P66" s="185"/>
      <c r="Q66" s="230">
        <f>SUM(Q67:Q68)</f>
        <v>363.7</v>
      </c>
      <c r="R66" s="164">
        <f>SUM(R67:R68)</f>
        <v>353.7</v>
      </c>
      <c r="S66" s="164">
        <f>SUM(S67:S68)</f>
        <v>10</v>
      </c>
      <c r="T66" s="164"/>
      <c r="U66" s="163"/>
      <c r="V66" s="181"/>
    </row>
    <row r="67" spans="1:22" s="159" customFormat="1" ht="15" customHeight="1">
      <c r="A67" s="202" t="s">
        <v>258</v>
      </c>
      <c r="B67" s="234"/>
      <c r="C67" s="224" t="s">
        <v>131</v>
      </c>
      <c r="D67" s="220" t="s">
        <v>75</v>
      </c>
      <c r="E67" s="221">
        <f>SUM(F67:G67)</f>
        <v>57</v>
      </c>
      <c r="F67" s="204">
        <v>57</v>
      </c>
      <c r="G67" s="204"/>
      <c r="H67" s="204">
        <f>SUM(I67:J67)</f>
        <v>57</v>
      </c>
      <c r="I67" s="204">
        <v>57</v>
      </c>
      <c r="J67" s="204"/>
      <c r="K67" s="204">
        <f>SUM(L67:M67)</f>
        <v>0</v>
      </c>
      <c r="L67" s="204">
        <v>0</v>
      </c>
      <c r="M67" s="204"/>
      <c r="N67" s="205">
        <f>SUM(O67:P67)</f>
        <v>59.7</v>
      </c>
      <c r="O67" s="162">
        <v>59.7</v>
      </c>
      <c r="P67" s="206">
        <v>0</v>
      </c>
      <c r="Q67" s="231">
        <f>SUM(R67:S67)</f>
        <v>59.7</v>
      </c>
      <c r="R67" s="162">
        <v>59.7</v>
      </c>
      <c r="S67" s="162">
        <v>0</v>
      </c>
      <c r="T67" s="153">
        <f>SUM(U67:U67)</f>
        <v>59.7</v>
      </c>
      <c r="U67" s="154">
        <v>59.7</v>
      </c>
      <c r="V67" s="181"/>
    </row>
    <row r="68" spans="1:22" s="159" customFormat="1" ht="22.5" customHeight="1" thickBot="1">
      <c r="A68" s="211" t="s">
        <v>259</v>
      </c>
      <c r="B68" s="263"/>
      <c r="C68" s="264">
        <v>2011</v>
      </c>
      <c r="D68" s="265" t="s">
        <v>65</v>
      </c>
      <c r="E68" s="266">
        <f>SUM(F68:G68)</f>
        <v>0</v>
      </c>
      <c r="F68" s="267">
        <v>0</v>
      </c>
      <c r="G68" s="267"/>
      <c r="H68" s="215">
        <f>SUM(I68:J68)</f>
        <v>260.4</v>
      </c>
      <c r="I68" s="267">
        <v>249.4</v>
      </c>
      <c r="J68" s="267">
        <v>11</v>
      </c>
      <c r="K68" s="215">
        <f>SUM(L68:M68)</f>
        <v>150</v>
      </c>
      <c r="L68" s="267">
        <v>150</v>
      </c>
      <c r="M68" s="267"/>
      <c r="N68" s="268">
        <f>SUM(O68:P68)</f>
        <v>304</v>
      </c>
      <c r="O68" s="216">
        <v>294</v>
      </c>
      <c r="P68" s="269">
        <v>10</v>
      </c>
      <c r="Q68" s="270">
        <f>SUM(R68:S68)</f>
        <v>304</v>
      </c>
      <c r="R68" s="216">
        <v>294</v>
      </c>
      <c r="S68" s="216">
        <v>10</v>
      </c>
      <c r="T68" s="271">
        <f>SUM(U68:U68)</f>
        <v>294</v>
      </c>
      <c r="U68" s="156">
        <v>294</v>
      </c>
      <c r="V68" s="217"/>
    </row>
    <row r="69" spans="1:22" s="285" customFormat="1" ht="18" thickBot="1">
      <c r="A69" s="275" t="s">
        <v>207</v>
      </c>
      <c r="B69" s="288" t="s">
        <v>141</v>
      </c>
      <c r="C69" s="286"/>
      <c r="D69" s="276"/>
      <c r="E69" s="277"/>
      <c r="F69" s="278"/>
      <c r="G69" s="278"/>
      <c r="H69" s="279"/>
      <c r="I69" s="278"/>
      <c r="J69" s="278"/>
      <c r="K69" s="279"/>
      <c r="L69" s="278"/>
      <c r="M69" s="278"/>
      <c r="N69" s="280"/>
      <c r="O69" s="281"/>
      <c r="P69" s="282"/>
      <c r="Q69" s="283">
        <f>R69+S69+V69</f>
        <v>570</v>
      </c>
      <c r="R69" s="280">
        <f>R70+R72</f>
        <v>400</v>
      </c>
      <c r="S69" s="280">
        <f>S70+S72</f>
        <v>0</v>
      </c>
      <c r="T69" s="280">
        <f>T70+T72</f>
        <v>0</v>
      </c>
      <c r="U69" s="280">
        <f>U70+U72</f>
        <v>0</v>
      </c>
      <c r="V69" s="284">
        <f>V70+V72</f>
        <v>170</v>
      </c>
    </row>
    <row r="70" spans="1:22" s="159" customFormat="1" ht="15">
      <c r="A70" s="291" t="s">
        <v>210</v>
      </c>
      <c r="B70" s="292" t="s">
        <v>208</v>
      </c>
      <c r="C70" s="293"/>
      <c r="D70" s="294"/>
      <c r="E70" s="295"/>
      <c r="F70" s="296"/>
      <c r="G70" s="296"/>
      <c r="H70" s="297"/>
      <c r="I70" s="296"/>
      <c r="J70" s="296"/>
      <c r="K70" s="297"/>
      <c r="L70" s="296"/>
      <c r="M70" s="296"/>
      <c r="N70" s="298"/>
      <c r="O70" s="299"/>
      <c r="P70" s="300"/>
      <c r="Q70" s="301">
        <f>Q71</f>
        <v>400</v>
      </c>
      <c r="R70" s="298">
        <f>R71</f>
        <v>400</v>
      </c>
      <c r="S70" s="298">
        <f>S71</f>
        <v>0</v>
      </c>
      <c r="T70" s="302"/>
      <c r="U70" s="303"/>
      <c r="V70" s="304"/>
    </row>
    <row r="71" spans="1:22" s="214" customFormat="1" ht="15">
      <c r="A71" s="213" t="s">
        <v>260</v>
      </c>
      <c r="B71" s="289"/>
      <c r="C71" s="287" t="s">
        <v>132</v>
      </c>
      <c r="D71" s="227" t="s">
        <v>83</v>
      </c>
      <c r="E71" s="221">
        <f>SUM(F71:G71)</f>
        <v>0</v>
      </c>
      <c r="F71" s="207">
        <v>0</v>
      </c>
      <c r="G71" s="207"/>
      <c r="H71" s="204">
        <f>SUM(I71:J71)</f>
        <v>220</v>
      </c>
      <c r="I71" s="207">
        <v>220</v>
      </c>
      <c r="J71" s="207"/>
      <c r="K71" s="204">
        <f>SUM(L71:M71)</f>
        <v>0</v>
      </c>
      <c r="L71" s="207">
        <v>0</v>
      </c>
      <c r="M71" s="207"/>
      <c r="N71" s="205">
        <f>SUM(O71:P71)</f>
        <v>400</v>
      </c>
      <c r="O71" s="162">
        <v>400</v>
      </c>
      <c r="P71" s="206">
        <f>M71/6*12</f>
        <v>0</v>
      </c>
      <c r="Q71" s="231">
        <f>SUM(R71:S71)</f>
        <v>400</v>
      </c>
      <c r="R71" s="162">
        <v>400</v>
      </c>
      <c r="S71" s="162">
        <f>P71/6*12</f>
        <v>0</v>
      </c>
      <c r="T71" s="205">
        <f>SUM(U71:U71)</f>
        <v>400</v>
      </c>
      <c r="U71" s="162">
        <v>400</v>
      </c>
      <c r="V71" s="212"/>
    </row>
    <row r="72" spans="1:22" s="214" customFormat="1" ht="15">
      <c r="A72" s="190" t="s">
        <v>211</v>
      </c>
      <c r="B72" s="289" t="s">
        <v>209</v>
      </c>
      <c r="C72" s="287"/>
      <c r="D72" s="227"/>
      <c r="E72" s="221"/>
      <c r="F72" s="207"/>
      <c r="G72" s="207"/>
      <c r="H72" s="204"/>
      <c r="I72" s="207"/>
      <c r="J72" s="207"/>
      <c r="K72" s="204"/>
      <c r="L72" s="207"/>
      <c r="M72" s="207"/>
      <c r="N72" s="205"/>
      <c r="O72" s="162"/>
      <c r="P72" s="206"/>
      <c r="Q72" s="231">
        <f aca="true" t="shared" si="31" ref="Q72:V72">Q73</f>
        <v>0</v>
      </c>
      <c r="R72" s="205">
        <f t="shared" si="31"/>
        <v>0</v>
      </c>
      <c r="S72" s="205">
        <f t="shared" si="31"/>
        <v>0</v>
      </c>
      <c r="T72" s="205">
        <f t="shared" si="31"/>
        <v>0</v>
      </c>
      <c r="U72" s="205">
        <f t="shared" si="31"/>
        <v>0</v>
      </c>
      <c r="V72" s="232">
        <f t="shared" si="31"/>
        <v>170</v>
      </c>
    </row>
    <row r="73" spans="1:22" s="143" customFormat="1" ht="15">
      <c r="A73" s="239" t="s">
        <v>261</v>
      </c>
      <c r="B73" s="290"/>
      <c r="C73" s="236" t="s">
        <v>132</v>
      </c>
      <c r="D73" s="228" t="s">
        <v>173</v>
      </c>
      <c r="E73" s="205"/>
      <c r="F73" s="204"/>
      <c r="G73" s="204"/>
      <c r="H73" s="204"/>
      <c r="I73" s="204"/>
      <c r="J73" s="204"/>
      <c r="K73" s="204"/>
      <c r="L73" s="204"/>
      <c r="M73" s="204"/>
      <c r="N73" s="205"/>
      <c r="O73" s="162"/>
      <c r="P73" s="206"/>
      <c r="Q73" s="233"/>
      <c r="R73" s="204"/>
      <c r="S73" s="204"/>
      <c r="T73" s="204"/>
      <c r="U73" s="204"/>
      <c r="V73" s="219">
        <v>170</v>
      </c>
    </row>
    <row r="74" spans="1:22" s="332" customFormat="1" ht="18" thickBot="1">
      <c r="A74" s="321" t="s">
        <v>187</v>
      </c>
      <c r="B74" s="322"/>
      <c r="C74" s="323"/>
      <c r="D74" s="324"/>
      <c r="E74" s="325"/>
      <c r="F74" s="326"/>
      <c r="G74" s="326"/>
      <c r="H74" s="326"/>
      <c r="I74" s="326"/>
      <c r="J74" s="326"/>
      <c r="K74" s="326"/>
      <c r="L74" s="326"/>
      <c r="M74" s="326"/>
      <c r="N74" s="325"/>
      <c r="O74" s="327"/>
      <c r="P74" s="328"/>
      <c r="Q74" s="329">
        <f>R74+S74+V74</f>
        <v>3587.7</v>
      </c>
      <c r="R74" s="325">
        <f>R11+R13+R15+R69</f>
        <v>3033.1</v>
      </c>
      <c r="S74" s="325">
        <f>S11+S13+S15+S69</f>
        <v>384.6</v>
      </c>
      <c r="T74" s="330">
        <f>T11+T13+T15+T69</f>
        <v>0</v>
      </c>
      <c r="U74" s="329">
        <f>U11+U13+U15+U69</f>
        <v>0</v>
      </c>
      <c r="V74" s="331">
        <f>V11+V13+V15+V69</f>
        <v>170</v>
      </c>
    </row>
    <row r="75" ht="14.25" customHeight="1">
      <c r="Q75" s="333"/>
    </row>
    <row r="76" spans="1:22" s="161" customFormat="1" ht="17.25" customHeight="1">
      <c r="A76" s="337" t="s">
        <v>262</v>
      </c>
      <c r="B76" s="338"/>
      <c r="C76" s="339"/>
      <c r="D76" s="340"/>
      <c r="E76" s="341"/>
      <c r="F76" s="342"/>
      <c r="G76" s="342"/>
      <c r="H76" s="342"/>
      <c r="I76" s="342"/>
      <c r="J76" s="342"/>
      <c r="K76" s="342"/>
      <c r="L76" s="342"/>
      <c r="M76" s="342"/>
      <c r="N76" s="341"/>
      <c r="O76" s="343"/>
      <c r="P76" s="343"/>
      <c r="Q76" s="341"/>
      <c r="R76" s="343" t="s">
        <v>188</v>
      </c>
      <c r="S76" s="166"/>
      <c r="T76" s="166"/>
      <c r="U76" s="166"/>
      <c r="V76" s="166"/>
    </row>
    <row r="78" spans="1:21" ht="15" hidden="1">
      <c r="A78" s="102" t="s">
        <v>154</v>
      </c>
      <c r="B78" s="195"/>
      <c r="C78" s="97" t="s">
        <v>152</v>
      </c>
      <c r="D78" s="99"/>
      <c r="E78" s="89">
        <f aca="true" t="shared" si="32" ref="E78:U78">SUM(E18:E75)</f>
        <v>3906.2999999999997</v>
      </c>
      <c r="F78" s="89">
        <f t="shared" si="32"/>
        <v>3690.6</v>
      </c>
      <c r="G78" s="89">
        <f t="shared" si="32"/>
        <v>215.7</v>
      </c>
      <c r="H78" s="89">
        <f t="shared" si="32"/>
        <v>4370.7</v>
      </c>
      <c r="I78" s="89">
        <f t="shared" si="32"/>
        <v>4144</v>
      </c>
      <c r="J78" s="89">
        <f t="shared" si="32"/>
        <v>226.7</v>
      </c>
      <c r="K78" s="89">
        <f t="shared" si="32"/>
        <v>2063.0099999999993</v>
      </c>
      <c r="L78" s="89">
        <f t="shared" si="32"/>
        <v>1978.7999999999995</v>
      </c>
      <c r="M78" s="89">
        <f t="shared" si="32"/>
        <v>84.21</v>
      </c>
      <c r="N78" s="89">
        <f t="shared" si="32"/>
        <v>3712.2999999999997</v>
      </c>
      <c r="O78" s="89">
        <f t="shared" si="32"/>
        <v>3519.999999999999</v>
      </c>
      <c r="P78" s="89">
        <f t="shared" si="32"/>
        <v>192.29999999999998</v>
      </c>
      <c r="Q78" s="89">
        <f t="shared" si="32"/>
        <v>10201.5</v>
      </c>
      <c r="R78" s="89">
        <f t="shared" si="32"/>
        <v>9137.699999999999</v>
      </c>
      <c r="S78" s="89">
        <f t="shared" si="32"/>
        <v>723.8</v>
      </c>
      <c r="T78" s="89">
        <f t="shared" si="32"/>
        <v>3598.2</v>
      </c>
      <c r="U78" s="89">
        <f t="shared" si="32"/>
        <v>3598.2</v>
      </c>
    </row>
    <row r="79" spans="1:21" ht="15" hidden="1">
      <c r="A79" s="102" t="s">
        <v>158</v>
      </c>
      <c r="B79" s="195"/>
      <c r="C79" s="97"/>
      <c r="D79" s="9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111"/>
      <c r="R79" s="111"/>
      <c r="S79" s="111"/>
      <c r="T79" s="111"/>
      <c r="U79" s="111"/>
    </row>
    <row r="80" spans="1:21" s="108" customFormat="1" ht="15" hidden="1">
      <c r="A80" s="104" t="s">
        <v>156</v>
      </c>
      <c r="B80" s="196"/>
      <c r="C80" s="105">
        <v>1087</v>
      </c>
      <c r="D80" s="106" t="s">
        <v>72</v>
      </c>
      <c r="E80" s="107">
        <f aca="true" t="shared" si="33" ref="E80:U80">E12</f>
        <v>195</v>
      </c>
      <c r="F80" s="107">
        <f t="shared" si="33"/>
        <v>11</v>
      </c>
      <c r="G80" s="107">
        <f t="shared" si="33"/>
        <v>184</v>
      </c>
      <c r="H80" s="107">
        <f t="shared" si="33"/>
        <v>195</v>
      </c>
      <c r="I80" s="107">
        <f t="shared" si="33"/>
        <v>11</v>
      </c>
      <c r="J80" s="107">
        <f t="shared" si="33"/>
        <v>184</v>
      </c>
      <c r="K80" s="107">
        <f t="shared" si="33"/>
        <v>116</v>
      </c>
      <c r="L80" s="107">
        <f t="shared" si="33"/>
        <v>13.63</v>
      </c>
      <c r="M80" s="107">
        <f t="shared" si="33"/>
        <v>102.37</v>
      </c>
      <c r="N80" s="107">
        <f t="shared" si="33"/>
        <v>190</v>
      </c>
      <c r="O80" s="107">
        <f t="shared" si="33"/>
        <v>10</v>
      </c>
      <c r="P80" s="107">
        <f t="shared" si="33"/>
        <v>180</v>
      </c>
      <c r="Q80" s="107">
        <f t="shared" si="33"/>
        <v>190</v>
      </c>
      <c r="R80" s="107">
        <f t="shared" si="33"/>
        <v>10</v>
      </c>
      <c r="S80" s="107">
        <f t="shared" si="33"/>
        <v>180</v>
      </c>
      <c r="T80" s="107">
        <f t="shared" si="33"/>
        <v>10</v>
      </c>
      <c r="U80" s="107">
        <f t="shared" si="33"/>
        <v>10</v>
      </c>
    </row>
    <row r="81" spans="1:21" s="108" customFormat="1" ht="15" hidden="1">
      <c r="A81" s="109" t="s">
        <v>157</v>
      </c>
      <c r="B81" s="196"/>
      <c r="C81" s="105">
        <v>1087</v>
      </c>
      <c r="D81" s="110" t="s">
        <v>153</v>
      </c>
      <c r="E81" s="107">
        <f aca="true" t="shared" si="34" ref="E81:U81">E14</f>
        <v>37</v>
      </c>
      <c r="F81" s="107">
        <f t="shared" si="34"/>
        <v>2</v>
      </c>
      <c r="G81" s="107">
        <f t="shared" si="34"/>
        <v>35</v>
      </c>
      <c r="H81" s="107">
        <f t="shared" si="34"/>
        <v>37</v>
      </c>
      <c r="I81" s="107">
        <f t="shared" si="34"/>
        <v>2</v>
      </c>
      <c r="J81" s="107">
        <f t="shared" si="34"/>
        <v>35</v>
      </c>
      <c r="K81" s="107">
        <f t="shared" si="34"/>
        <v>16.169999999999998</v>
      </c>
      <c r="L81" s="107">
        <f t="shared" si="34"/>
        <v>0.97</v>
      </c>
      <c r="M81" s="107">
        <f t="shared" si="34"/>
        <v>15.2</v>
      </c>
      <c r="N81" s="107">
        <f t="shared" si="34"/>
        <v>37</v>
      </c>
      <c r="O81" s="107">
        <f t="shared" si="34"/>
        <v>2</v>
      </c>
      <c r="P81" s="107">
        <f t="shared" si="34"/>
        <v>35</v>
      </c>
      <c r="Q81" s="107">
        <f t="shared" si="34"/>
        <v>37</v>
      </c>
      <c r="R81" s="107">
        <f t="shared" si="34"/>
        <v>2</v>
      </c>
      <c r="S81" s="107">
        <f t="shared" si="34"/>
        <v>35</v>
      </c>
      <c r="T81" s="107">
        <f t="shared" si="34"/>
        <v>2</v>
      </c>
      <c r="U81" s="107">
        <f t="shared" si="34"/>
        <v>2</v>
      </c>
    </row>
    <row r="82" spans="1:21" s="108" customFormat="1" ht="15" hidden="1">
      <c r="A82" s="109" t="s">
        <v>159</v>
      </c>
      <c r="B82" s="196"/>
      <c r="C82" s="105">
        <v>1087</v>
      </c>
      <c r="D82" s="110"/>
      <c r="E82" s="107">
        <f aca="true" t="shared" si="35" ref="E82:U82">SUM(E18:E75)</f>
        <v>3906.2999999999997</v>
      </c>
      <c r="F82" s="107">
        <f t="shared" si="35"/>
        <v>3690.6</v>
      </c>
      <c r="G82" s="107">
        <f t="shared" si="35"/>
        <v>215.7</v>
      </c>
      <c r="H82" s="107">
        <f t="shared" si="35"/>
        <v>4370.7</v>
      </c>
      <c r="I82" s="107">
        <f t="shared" si="35"/>
        <v>4144</v>
      </c>
      <c r="J82" s="107">
        <f t="shared" si="35"/>
        <v>226.7</v>
      </c>
      <c r="K82" s="107">
        <f t="shared" si="35"/>
        <v>2063.0099999999993</v>
      </c>
      <c r="L82" s="107">
        <f t="shared" si="35"/>
        <v>1978.7999999999995</v>
      </c>
      <c r="M82" s="107">
        <f t="shared" si="35"/>
        <v>84.21</v>
      </c>
      <c r="N82" s="107">
        <f t="shared" si="35"/>
        <v>3712.2999999999997</v>
      </c>
      <c r="O82" s="107">
        <f t="shared" si="35"/>
        <v>3519.999999999999</v>
      </c>
      <c r="P82" s="107">
        <f t="shared" si="35"/>
        <v>192.29999999999998</v>
      </c>
      <c r="Q82" s="107">
        <f t="shared" si="35"/>
        <v>10201.5</v>
      </c>
      <c r="R82" s="107">
        <f t="shared" si="35"/>
        <v>9137.699999999999</v>
      </c>
      <c r="S82" s="107">
        <f t="shared" si="35"/>
        <v>723.8</v>
      </c>
      <c r="T82" s="107">
        <f t="shared" si="35"/>
        <v>3598.2</v>
      </c>
      <c r="U82" s="107">
        <f t="shared" si="35"/>
        <v>3598.2</v>
      </c>
    </row>
    <row r="83" spans="1:21" ht="15" hidden="1">
      <c r="A83" s="102" t="s">
        <v>155</v>
      </c>
      <c r="B83" s="195"/>
      <c r="C83" s="97" t="s">
        <v>131</v>
      </c>
      <c r="D83" s="99"/>
      <c r="E83" s="89">
        <f aca="true" t="shared" si="36" ref="E83:U83">SUM(E67:E75)</f>
        <v>57</v>
      </c>
      <c r="F83" s="89">
        <f t="shared" si="36"/>
        <v>57</v>
      </c>
      <c r="G83" s="89">
        <f t="shared" si="36"/>
        <v>0</v>
      </c>
      <c r="H83" s="89">
        <f t="shared" si="36"/>
        <v>537.4</v>
      </c>
      <c r="I83" s="89">
        <f t="shared" si="36"/>
        <v>526.4</v>
      </c>
      <c r="J83" s="89">
        <f t="shared" si="36"/>
        <v>11</v>
      </c>
      <c r="K83" s="89">
        <f t="shared" si="36"/>
        <v>150</v>
      </c>
      <c r="L83" s="89">
        <f t="shared" si="36"/>
        <v>150</v>
      </c>
      <c r="M83" s="89">
        <f t="shared" si="36"/>
        <v>0</v>
      </c>
      <c r="N83" s="89">
        <f t="shared" si="36"/>
        <v>763.7</v>
      </c>
      <c r="O83" s="89">
        <f t="shared" si="36"/>
        <v>753.7</v>
      </c>
      <c r="P83" s="89">
        <f t="shared" si="36"/>
        <v>10</v>
      </c>
      <c r="Q83" s="89">
        <f t="shared" si="36"/>
        <v>5321.4</v>
      </c>
      <c r="R83" s="89">
        <f t="shared" si="36"/>
        <v>4586.8</v>
      </c>
      <c r="S83" s="89">
        <f t="shared" si="36"/>
        <v>394.6</v>
      </c>
      <c r="T83" s="89">
        <f t="shared" si="36"/>
        <v>753.7</v>
      </c>
      <c r="U83" s="89">
        <f t="shared" si="36"/>
        <v>753.7</v>
      </c>
    </row>
    <row r="84" spans="1:21" ht="15" hidden="1">
      <c r="A84" s="102" t="s">
        <v>176</v>
      </c>
      <c r="B84" s="195"/>
      <c r="C84" s="97" t="s">
        <v>132</v>
      </c>
      <c r="D84" s="99" t="s">
        <v>177</v>
      </c>
      <c r="E84" s="89">
        <f aca="true" t="shared" si="37" ref="E84:U84">E71</f>
        <v>0</v>
      </c>
      <c r="F84" s="89">
        <f t="shared" si="37"/>
        <v>0</v>
      </c>
      <c r="G84" s="89">
        <f t="shared" si="37"/>
        <v>0</v>
      </c>
      <c r="H84" s="89">
        <f t="shared" si="37"/>
        <v>220</v>
      </c>
      <c r="I84" s="89">
        <f t="shared" si="37"/>
        <v>220</v>
      </c>
      <c r="J84" s="89">
        <f t="shared" si="37"/>
        <v>0</v>
      </c>
      <c r="K84" s="89">
        <f t="shared" si="37"/>
        <v>0</v>
      </c>
      <c r="L84" s="89">
        <f t="shared" si="37"/>
        <v>0</v>
      </c>
      <c r="M84" s="89">
        <f t="shared" si="37"/>
        <v>0</v>
      </c>
      <c r="N84" s="89">
        <f t="shared" si="37"/>
        <v>400</v>
      </c>
      <c r="O84" s="89">
        <f t="shared" si="37"/>
        <v>400</v>
      </c>
      <c r="P84" s="89">
        <f t="shared" si="37"/>
        <v>0</v>
      </c>
      <c r="Q84" s="89">
        <f t="shared" si="37"/>
        <v>400</v>
      </c>
      <c r="R84" s="89">
        <f t="shared" si="37"/>
        <v>400</v>
      </c>
      <c r="S84" s="89">
        <f t="shared" si="37"/>
        <v>0</v>
      </c>
      <c r="T84" s="89">
        <f t="shared" si="37"/>
        <v>400</v>
      </c>
      <c r="U84" s="89">
        <f t="shared" si="37"/>
        <v>400</v>
      </c>
    </row>
    <row r="85" ht="13.5" hidden="1"/>
    <row r="86" ht="13.5" hidden="1"/>
    <row r="87" ht="13.5" hidden="1"/>
    <row r="88" spans="1:21" s="115" customFormat="1" ht="39" customHeight="1" hidden="1">
      <c r="A88" s="116"/>
      <c r="B88" s="193"/>
      <c r="C88" s="116"/>
      <c r="D88" s="116"/>
      <c r="E88" s="383" t="s">
        <v>137</v>
      </c>
      <c r="F88" s="384"/>
      <c r="G88" s="385"/>
      <c r="H88" s="386" t="s">
        <v>142</v>
      </c>
      <c r="I88" s="387"/>
      <c r="J88" s="388"/>
      <c r="K88" s="386" t="s">
        <v>143</v>
      </c>
      <c r="L88" s="387"/>
      <c r="M88" s="388"/>
      <c r="N88" s="389" t="s">
        <v>164</v>
      </c>
      <c r="O88" s="390"/>
      <c r="P88" s="391"/>
      <c r="Q88" s="392" t="s">
        <v>163</v>
      </c>
      <c r="R88" s="392"/>
      <c r="S88" s="392"/>
      <c r="T88" s="392" t="s">
        <v>160</v>
      </c>
      <c r="U88" s="392"/>
    </row>
    <row r="89" spans="1:21" s="86" customFormat="1" ht="117" customHeight="1" hidden="1">
      <c r="A89" s="120" t="s">
        <v>172</v>
      </c>
      <c r="B89" s="194"/>
      <c r="C89" s="94"/>
      <c r="D89" s="94"/>
      <c r="E89" s="88"/>
      <c r="F89" s="95" t="s">
        <v>135</v>
      </c>
      <c r="G89" s="95" t="s">
        <v>136</v>
      </c>
      <c r="H89" s="88"/>
      <c r="I89" s="95" t="s">
        <v>135</v>
      </c>
      <c r="J89" s="95" t="s">
        <v>136</v>
      </c>
      <c r="K89" s="88"/>
      <c r="L89" s="95" t="s">
        <v>135</v>
      </c>
      <c r="M89" s="95" t="s">
        <v>136</v>
      </c>
      <c r="N89" s="88" t="s">
        <v>170</v>
      </c>
      <c r="O89" s="96" t="s">
        <v>167</v>
      </c>
      <c r="P89" s="96" t="s">
        <v>171</v>
      </c>
      <c r="Q89" s="88" t="s">
        <v>170</v>
      </c>
      <c r="R89" s="96" t="s">
        <v>167</v>
      </c>
      <c r="S89" s="96" t="s">
        <v>171</v>
      </c>
      <c r="T89" s="88" t="s">
        <v>170</v>
      </c>
      <c r="U89" s="96" t="s">
        <v>167</v>
      </c>
    </row>
    <row r="90" spans="1:21" s="115" customFormat="1" ht="34.5" customHeight="1" hidden="1">
      <c r="A90" s="112" t="s">
        <v>50</v>
      </c>
      <c r="B90" s="112"/>
      <c r="C90" s="113" t="s">
        <v>130</v>
      </c>
      <c r="D90" s="114" t="s">
        <v>51</v>
      </c>
      <c r="E90" s="117" t="s">
        <v>84</v>
      </c>
      <c r="F90" s="118">
        <v>142310</v>
      </c>
      <c r="G90" s="118">
        <v>142320</v>
      </c>
      <c r="H90" s="117" t="s">
        <v>84</v>
      </c>
      <c r="I90" s="118">
        <v>142310</v>
      </c>
      <c r="J90" s="118">
        <v>142320</v>
      </c>
      <c r="K90" s="117" t="s">
        <v>84</v>
      </c>
      <c r="L90" s="118">
        <v>142310</v>
      </c>
      <c r="M90" s="118">
        <v>142320</v>
      </c>
      <c r="N90" s="117" t="s">
        <v>84</v>
      </c>
      <c r="O90" s="113" t="s">
        <v>168</v>
      </c>
      <c r="P90" s="113" t="s">
        <v>169</v>
      </c>
      <c r="Q90" s="113" t="s">
        <v>84</v>
      </c>
      <c r="R90" s="113">
        <v>142310</v>
      </c>
      <c r="S90" s="113" t="s">
        <v>169</v>
      </c>
      <c r="T90" s="113" t="s">
        <v>84</v>
      </c>
      <c r="U90" s="113">
        <v>142310</v>
      </c>
    </row>
    <row r="91" spans="1:21" ht="13.5" hidden="1">
      <c r="A91" s="119" t="s">
        <v>174</v>
      </c>
      <c r="B91" s="198"/>
      <c r="C91" s="97" t="s">
        <v>132</v>
      </c>
      <c r="D91" s="99" t="s">
        <v>173</v>
      </c>
      <c r="E91" s="89"/>
      <c r="F91" s="87"/>
      <c r="G91" s="87"/>
      <c r="H91" s="87"/>
      <c r="I91" s="87"/>
      <c r="J91" s="87"/>
      <c r="K91" s="87"/>
      <c r="L91" s="87"/>
      <c r="M91" s="87"/>
      <c r="N91" s="89">
        <f>O91+P91</f>
        <v>3045.9</v>
      </c>
      <c r="O91" s="90">
        <v>165.5</v>
      </c>
      <c r="P91" s="90">
        <v>2880.4</v>
      </c>
      <c r="Q91" s="111">
        <f>R91+S91</f>
        <v>3038.6</v>
      </c>
      <c r="R91" s="111">
        <v>170</v>
      </c>
      <c r="S91" s="111">
        <v>2868.6</v>
      </c>
      <c r="T91" s="111" t="e">
        <f>U91+#REF!</f>
        <v>#REF!</v>
      </c>
      <c r="U91" s="111">
        <v>175</v>
      </c>
    </row>
    <row r="92" spans="1:21" ht="13.5" hidden="1">
      <c r="A92" s="119"/>
      <c r="B92" s="198"/>
      <c r="C92" s="97"/>
      <c r="D92" s="99"/>
      <c r="E92" s="89"/>
      <c r="F92" s="87"/>
      <c r="G92" s="87"/>
      <c r="H92" s="87"/>
      <c r="I92" s="87"/>
      <c r="J92" s="87"/>
      <c r="K92" s="87"/>
      <c r="L92" s="87"/>
      <c r="M92" s="87"/>
      <c r="N92" s="89"/>
      <c r="O92" s="90"/>
      <c r="P92" s="90"/>
      <c r="Q92" s="111"/>
      <c r="R92" s="111"/>
      <c r="S92" s="111"/>
      <c r="T92" s="111"/>
      <c r="U92" s="111"/>
    </row>
    <row r="93" ht="13.5" hidden="1"/>
    <row r="94" spans="1:21" s="121" customFormat="1" ht="17.25" hidden="1">
      <c r="A94" s="129" t="s">
        <v>179</v>
      </c>
      <c r="B94" s="199"/>
      <c r="C94" s="131">
        <v>2017</v>
      </c>
      <c r="D94" s="131">
        <v>2018</v>
      </c>
      <c r="E94" s="122"/>
      <c r="F94" s="123"/>
      <c r="G94" s="123"/>
      <c r="H94" s="123"/>
      <c r="I94" s="123"/>
      <c r="J94" s="123"/>
      <c r="K94" s="123"/>
      <c r="L94" s="123"/>
      <c r="M94" s="123"/>
      <c r="N94" s="131">
        <v>2019</v>
      </c>
      <c r="O94" s="124" t="s">
        <v>178</v>
      </c>
      <c r="P94" s="125"/>
      <c r="Q94" s="126"/>
      <c r="R94" s="126"/>
      <c r="S94" s="126"/>
      <c r="T94" s="126"/>
      <c r="U94" s="126"/>
    </row>
    <row r="95" spans="1:21" s="121" customFormat="1" ht="18" hidden="1">
      <c r="A95" s="133" t="s">
        <v>180</v>
      </c>
      <c r="B95" s="200"/>
      <c r="C95" s="134">
        <f>Q10+R91</f>
        <v>10371.5</v>
      </c>
      <c r="D95" s="134">
        <f>T10+U91</f>
        <v>3773.2</v>
      </c>
      <c r="E95" s="135"/>
      <c r="F95" s="136"/>
      <c r="G95" s="136"/>
      <c r="H95" s="136"/>
      <c r="I95" s="136"/>
      <c r="J95" s="136"/>
      <c r="K95" s="136"/>
      <c r="L95" s="136"/>
      <c r="M95" s="136"/>
      <c r="N95" s="137" t="e">
        <f>#REF!+#REF!</f>
        <v>#REF!</v>
      </c>
      <c r="O95" s="124">
        <f>N10+O91</f>
        <v>3877.7999999999997</v>
      </c>
      <c r="P95" s="125"/>
      <c r="Q95" s="126"/>
      <c r="R95" s="126"/>
      <c r="S95" s="126"/>
      <c r="T95" s="126"/>
      <c r="U95" s="126"/>
    </row>
    <row r="96" spans="1:21" s="121" customFormat="1" ht="18" hidden="1">
      <c r="A96" s="133" t="s">
        <v>181</v>
      </c>
      <c r="B96" s="200"/>
      <c r="C96" s="138">
        <f>S91</f>
        <v>2868.6</v>
      </c>
      <c r="D96" s="138" t="e">
        <f>#REF!</f>
        <v>#REF!</v>
      </c>
      <c r="E96" s="135"/>
      <c r="F96" s="136"/>
      <c r="G96" s="136"/>
      <c r="H96" s="136"/>
      <c r="I96" s="136"/>
      <c r="J96" s="136"/>
      <c r="K96" s="136"/>
      <c r="L96" s="136"/>
      <c r="M96" s="136"/>
      <c r="N96" s="139" t="e">
        <f>#REF!</f>
        <v>#REF!</v>
      </c>
      <c r="O96" s="124">
        <f>P91</f>
        <v>2880.4</v>
      </c>
      <c r="P96" s="125"/>
      <c r="Q96" s="126"/>
      <c r="R96" s="126"/>
      <c r="S96" s="126"/>
      <c r="T96" s="126"/>
      <c r="U96" s="126"/>
    </row>
    <row r="97" spans="1:21" s="121" customFormat="1" ht="18" hidden="1" thickBot="1">
      <c r="A97" s="130" t="s">
        <v>175</v>
      </c>
      <c r="B97" s="201"/>
      <c r="C97" s="132">
        <f>C95+C96</f>
        <v>13240.1</v>
      </c>
      <c r="D97" s="132" t="e">
        <f>D95+D96</f>
        <v>#REF!</v>
      </c>
      <c r="E97" s="127"/>
      <c r="F97" s="128"/>
      <c r="G97" s="128"/>
      <c r="H97" s="128"/>
      <c r="I97" s="128"/>
      <c r="J97" s="128"/>
      <c r="K97" s="128"/>
      <c r="L97" s="128"/>
      <c r="M97" s="128"/>
      <c r="N97" s="132" t="e">
        <f>N95+N96</f>
        <v>#REF!</v>
      </c>
      <c r="O97" s="124">
        <f>O95+O96</f>
        <v>6758.2</v>
      </c>
      <c r="P97" s="125"/>
      <c r="Q97" s="126"/>
      <c r="R97" s="126"/>
      <c r="S97" s="126"/>
      <c r="T97" s="126"/>
      <c r="U97" s="126"/>
    </row>
  </sheetData>
  <sheetProtection/>
  <mergeCells count="20">
    <mergeCell ref="C6:C8"/>
    <mergeCell ref="A6:A8"/>
    <mergeCell ref="V6:V7"/>
    <mergeCell ref="Q6:Q8"/>
    <mergeCell ref="E88:G88"/>
    <mergeCell ref="H88:J88"/>
    <mergeCell ref="K88:M88"/>
    <mergeCell ref="N88:P88"/>
    <mergeCell ref="Q88:S88"/>
    <mergeCell ref="T88:U88"/>
    <mergeCell ref="A4:R4"/>
    <mergeCell ref="A1:D1"/>
    <mergeCell ref="T6:U6"/>
    <mergeCell ref="E6:G6"/>
    <mergeCell ref="H6:J6"/>
    <mergeCell ref="K6:M6"/>
    <mergeCell ref="N6:P6"/>
    <mergeCell ref="R6:S6"/>
    <mergeCell ref="B6:B8"/>
    <mergeCell ref="D6:D8"/>
  </mergeCells>
  <printOptions/>
  <pageMargins left="0.55" right="0.2362204724409449" top="0.16" bottom="0.1968503937007874" header="0.15748031496062992" footer="0.1968503937007874"/>
  <pageSetup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2016-12-26T13:15:02Z</dcterms:modified>
  <cp:category/>
  <cp:version/>
  <cp:contentType/>
  <cp:contentStatus/>
</cp:coreProperties>
</file>